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202300"/>
  <xr:revisionPtr revIDLastSave="0" documentId="13_ncr:1_{2E24669F-0F52-4417-96EF-234577D3048E}" xr6:coauthVersionLast="47" xr6:coauthVersionMax="47" xr10:uidLastSave="{00000000-0000-0000-0000-000000000000}"/>
  <bookViews>
    <workbookView xWindow="-120" yWindow="-120" windowWidth="23280" windowHeight="14880" activeTab="6" xr2:uid="{4A000363-8347-4D46-B933-FDA6304417A3}"/>
  </bookViews>
  <sheets>
    <sheet name="午前観測" sheetId="1" r:id="rId1"/>
    <sheet name="正午観測" sheetId="2" r:id="rId2"/>
    <sheet name="ノート" sheetId="3" r:id="rId3"/>
    <sheet name="A2" sheetId="6" state="hidden" r:id="rId4"/>
    <sheet name="DIP" sheetId="4" state="hidden" r:id="rId5"/>
    <sheet name="A4" sheetId="5" state="hidden" r:id="rId6"/>
    <sheet name="Help" sheetId="7"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 i="1" l="1"/>
  <c r="L6" i="1"/>
  <c r="E6" i="2" s="1"/>
  <c r="X26" i="3" s="1"/>
  <c r="L5" i="1"/>
  <c r="J6" i="1"/>
  <c r="D32" i="3" s="1"/>
  <c r="L5" i="3" s="1"/>
  <c r="J5" i="1"/>
  <c r="L25" i="1"/>
  <c r="N12" i="3" s="1"/>
  <c r="L28" i="2"/>
  <c r="AG6" i="3" s="1"/>
  <c r="C6" i="2"/>
  <c r="V26" i="3" s="1"/>
  <c r="E5" i="2"/>
  <c r="C5" i="2"/>
  <c r="V25" i="3" s="1"/>
  <c r="A2" i="2"/>
  <c r="A42" i="3"/>
  <c r="Z39" i="3"/>
  <c r="X39" i="3"/>
  <c r="V39" i="3"/>
  <c r="Z36" i="3"/>
  <c r="F31" i="3"/>
  <c r="D31" i="3"/>
  <c r="X25" i="3"/>
  <c r="H25" i="3"/>
  <c r="F25" i="3"/>
  <c r="D25" i="3"/>
  <c r="H24" i="3"/>
  <c r="F24" i="3"/>
  <c r="D24" i="3"/>
  <c r="B23" i="3"/>
  <c r="T22" i="3"/>
  <c r="V22" i="3" s="1"/>
  <c r="V21" i="3"/>
  <c r="T21" i="3"/>
  <c r="B21" i="3"/>
  <c r="D21" i="3" s="1"/>
  <c r="T20" i="3"/>
  <c r="V20" i="3" s="1"/>
  <c r="B20" i="3"/>
  <c r="D20" i="3" s="1"/>
  <c r="AD19" i="3"/>
  <c r="V19" i="3"/>
  <c r="T19" i="3"/>
  <c r="D19" i="3"/>
  <c r="B19" i="3"/>
  <c r="T18" i="3"/>
  <c r="V18" i="3" s="1"/>
  <c r="B18" i="3"/>
  <c r="D18" i="3" s="1"/>
  <c r="V17" i="3"/>
  <c r="T17" i="3"/>
  <c r="B17" i="3"/>
  <c r="D17" i="3" s="1"/>
  <c r="T16" i="3"/>
  <c r="V16" i="3" s="1"/>
  <c r="B16" i="3"/>
  <c r="D16" i="3" s="1"/>
  <c r="T15" i="3"/>
  <c r="V15" i="3" s="1"/>
  <c r="L15" i="3"/>
  <c r="D15" i="3"/>
  <c r="B15" i="3"/>
  <c r="T14" i="3"/>
  <c r="V14" i="3" s="1"/>
  <c r="B14" i="3"/>
  <c r="D14" i="3" s="1"/>
  <c r="T13" i="3"/>
  <c r="V13" i="3" s="1"/>
  <c r="B13" i="3"/>
  <c r="D13" i="3" s="1"/>
  <c r="V12" i="3"/>
  <c r="T12" i="3"/>
  <c r="M12" i="3"/>
  <c r="B12" i="3"/>
  <c r="D12" i="3" s="1"/>
  <c r="T11" i="3"/>
  <c r="V11" i="3" s="1"/>
  <c r="M11" i="3"/>
  <c r="B11" i="3"/>
  <c r="D11" i="3" s="1"/>
  <c r="V10" i="3"/>
  <c r="T10" i="3"/>
  <c r="B10" i="3"/>
  <c r="D10" i="3" s="1"/>
  <c r="AG9" i="3"/>
  <c r="AE9" i="3"/>
  <c r="T9" i="3"/>
  <c r="V9" i="3" s="1"/>
  <c r="W8" i="3" s="1"/>
  <c r="B9" i="3"/>
  <c r="D9" i="3" s="1"/>
  <c r="E8" i="3" s="1"/>
  <c r="T8" i="3"/>
  <c r="V8" i="3" s="1"/>
  <c r="B8" i="3"/>
  <c r="D8" i="3" s="1"/>
  <c r="AF6" i="3"/>
  <c r="V6" i="3"/>
  <c r="D6" i="3"/>
  <c r="AF5" i="3"/>
  <c r="V5" i="3"/>
  <c r="D5" i="3"/>
  <c r="V4" i="3"/>
  <c r="D4" i="3"/>
  <c r="T3" i="3"/>
  <c r="P3" i="3"/>
  <c r="N3" i="3"/>
  <c r="L3" i="3"/>
  <c r="E3" i="3"/>
  <c r="D3" i="3" a="1"/>
  <c r="D3" i="3" s="1"/>
  <c r="B3" i="3"/>
  <c r="B4" i="2"/>
  <c r="C3" i="2"/>
  <c r="E3" i="2"/>
  <c r="G3" i="2"/>
  <c r="B59" i="6"/>
  <c r="E58" i="6"/>
  <c r="B58" i="6"/>
  <c r="E57" i="6"/>
  <c r="B57" i="6"/>
  <c r="B56" i="6"/>
  <c r="E55" i="6"/>
  <c r="B55" i="6"/>
  <c r="E54" i="6"/>
  <c r="B54" i="6"/>
  <c r="E53" i="6"/>
  <c r="B53" i="6"/>
  <c r="E52" i="6"/>
  <c r="B52" i="6"/>
  <c r="E51" i="6"/>
  <c r="B51" i="6"/>
  <c r="E50" i="6"/>
  <c r="B50" i="6"/>
  <c r="E49" i="6"/>
  <c r="B49" i="6"/>
  <c r="E48" i="6"/>
  <c r="B48" i="6"/>
  <c r="E47" i="6"/>
  <c r="B47" i="6"/>
  <c r="E46" i="6"/>
  <c r="B46" i="6"/>
  <c r="E45" i="6"/>
  <c r="B45" i="6"/>
  <c r="E44" i="6"/>
  <c r="B44" i="6"/>
  <c r="E43" i="6"/>
  <c r="B43" i="6"/>
  <c r="B42" i="6"/>
  <c r="E41" i="6"/>
  <c r="B41" i="6"/>
  <c r="E40" i="6"/>
  <c r="B40" i="6"/>
  <c r="E39" i="6"/>
  <c r="B39" i="6"/>
  <c r="E38" i="6"/>
  <c r="B38" i="6"/>
  <c r="E37" i="6"/>
  <c r="B37" i="6"/>
  <c r="E36" i="6"/>
  <c r="B36" i="6"/>
  <c r="E35" i="6"/>
  <c r="B35" i="6"/>
  <c r="E34" i="6"/>
  <c r="B34" i="6"/>
  <c r="E33" i="6"/>
  <c r="B33" i="6"/>
  <c r="E32" i="6"/>
  <c r="B32" i="6"/>
  <c r="E31" i="6"/>
  <c r="B31" i="6"/>
  <c r="E30" i="6"/>
  <c r="E29" i="6"/>
  <c r="B29" i="6"/>
  <c r="E28" i="6"/>
  <c r="B28" i="6"/>
  <c r="E27" i="6"/>
  <c r="B27" i="6"/>
  <c r="E26" i="6"/>
  <c r="B26" i="6"/>
  <c r="E25" i="6"/>
  <c r="B25" i="6"/>
  <c r="E24" i="6"/>
  <c r="B24" i="6"/>
  <c r="E23" i="6"/>
  <c r="B23" i="6"/>
  <c r="E22" i="6"/>
  <c r="B22" i="6"/>
  <c r="E21" i="6"/>
  <c r="B21" i="6"/>
  <c r="E20" i="6"/>
  <c r="B20" i="6"/>
  <c r="E19" i="6"/>
  <c r="E18" i="6"/>
  <c r="B18" i="6"/>
  <c r="E17" i="6"/>
  <c r="B17" i="6"/>
  <c r="E16" i="6"/>
  <c r="B16" i="6"/>
  <c r="E15" i="6"/>
  <c r="B15" i="6"/>
  <c r="E14" i="6"/>
  <c r="B14" i="6"/>
  <c r="E13" i="6"/>
  <c r="B13" i="6"/>
  <c r="E12" i="6"/>
  <c r="E11" i="6"/>
  <c r="B11" i="6"/>
  <c r="E10" i="6"/>
  <c r="B10" i="6"/>
  <c r="E9" i="6"/>
  <c r="B9" i="6"/>
  <c r="E8" i="6"/>
  <c r="B8" i="6"/>
  <c r="E7" i="6"/>
  <c r="B7" i="6"/>
  <c r="E6" i="6"/>
  <c r="B6" i="6"/>
  <c r="E5" i="6"/>
  <c r="B5" i="6"/>
  <c r="X22" i="3"/>
  <c r="F22" i="3"/>
  <c r="T31" i="3"/>
  <c r="L31" i="2"/>
  <c r="J31" i="2"/>
  <c r="G30" i="2"/>
  <c r="N29" i="2"/>
  <c r="Z4" i="5" s="1"/>
  <c r="P21" i="2"/>
  <c r="G20" i="2"/>
  <c r="G19" i="2"/>
  <c r="V28" i="3" s="1"/>
  <c r="X28" i="3" s="1"/>
  <c r="P16" i="2"/>
  <c r="P15" i="2"/>
  <c r="B14" i="2"/>
  <c r="L28" i="1"/>
  <c r="N15" i="3" s="1"/>
  <c r="J28" i="1"/>
  <c r="N26" i="1"/>
  <c r="G24" i="1"/>
  <c r="J19" i="1" s="1"/>
  <c r="L19" i="1" s="1"/>
  <c r="N4" i="3" s="1"/>
  <c r="L20" i="1"/>
  <c r="W19" i="1"/>
  <c r="W23" i="1" s="1"/>
  <c r="T19" i="1"/>
  <c r="N22" i="3" s="1"/>
  <c r="G19" i="1"/>
  <c r="N18" i="1"/>
  <c r="L18" i="1"/>
  <c r="J18" i="1"/>
  <c r="G18" i="1"/>
  <c r="T16" i="1"/>
  <c r="T15" i="1"/>
  <c r="I15" i="1"/>
  <c r="I16" i="1" s="1"/>
  <c r="G15" i="1"/>
  <c r="G14" i="1"/>
  <c r="B4" i="1"/>
  <c r="AA4" i="5" l="1"/>
  <c r="S4" i="5"/>
  <c r="AD4" i="5"/>
  <c r="V4" i="5"/>
  <c r="AE4" i="5"/>
  <c r="U4" i="5"/>
  <c r="W4" i="5"/>
  <c r="T4" i="5"/>
  <c r="X4" i="5"/>
  <c r="Y4" i="5"/>
  <c r="AC4" i="5"/>
  <c r="R4" i="5"/>
  <c r="Z28" i="3"/>
  <c r="G25" i="1"/>
  <c r="L8" i="3" s="1"/>
  <c r="L4" i="3"/>
  <c r="F32" i="3"/>
  <c r="N5" i="3" s="1"/>
  <c r="J20" i="1"/>
  <c r="G26" i="1" s="1"/>
  <c r="AC3" i="5"/>
  <c r="U3" i="5"/>
  <c r="AD3" i="5"/>
  <c r="T3" i="5"/>
  <c r="V3" i="5"/>
  <c r="AE3" i="5"/>
  <c r="W3" i="5"/>
  <c r="X3" i="5"/>
  <c r="Z3" i="5"/>
  <c r="R3" i="5"/>
  <c r="AA3" i="5"/>
  <c r="S3" i="5"/>
  <c r="H27" i="3"/>
  <c r="G21" i="1"/>
  <c r="D27" i="3"/>
  <c r="F27" i="3" s="1"/>
  <c r="L35" i="3"/>
  <c r="N35" i="3" s="1"/>
  <c r="N30" i="3"/>
  <c r="T23" i="3" a="1"/>
  <c r="T23" i="3" s="1"/>
  <c r="T23" i="1"/>
  <c r="W9" i="3"/>
  <c r="E9" i="3"/>
  <c r="F8" i="3"/>
  <c r="I4" i="2"/>
  <c r="P4" i="2"/>
  <c r="J23" i="2"/>
  <c r="L23" i="2" s="1"/>
  <c r="N8" i="3" l="1"/>
  <c r="L27" i="3"/>
  <c r="N27" i="3" s="1"/>
  <c r="P19" i="3"/>
  <c r="K19" i="3"/>
  <c r="G5" i="2"/>
  <c r="H31" i="3"/>
  <c r="G16" i="1"/>
  <c r="X9" i="3"/>
  <c r="W10" i="3"/>
  <c r="F9" i="3"/>
  <c r="E10" i="3"/>
  <c r="J21" i="1"/>
  <c r="L6" i="3" s="1"/>
  <c r="M32" i="1"/>
  <c r="J32" i="1"/>
  <c r="G27" i="1"/>
  <c r="AB3" i="5" s="1"/>
  <c r="L21" i="1" l="1"/>
  <c r="N6" i="3" s="1"/>
  <c r="H28" i="3"/>
  <c r="D28" i="3"/>
  <c r="F28" i="3" s="1"/>
  <c r="G22" i="1"/>
  <c r="N6" i="1" s="1"/>
  <c r="Y3" i="5"/>
  <c r="AF3" i="5" s="1"/>
  <c r="L24" i="1"/>
  <c r="N11" i="3" s="1"/>
  <c r="Z25" i="3"/>
  <c r="G23" i="2"/>
  <c r="W11" i="3"/>
  <c r="X11" i="3" s="1"/>
  <c r="F10" i="3"/>
  <c r="E11" i="3"/>
  <c r="X10" i="3"/>
  <c r="J23" i="1"/>
  <c r="L10" i="3" s="1"/>
  <c r="J31" i="1"/>
  <c r="L18" i="3" s="1"/>
  <c r="N19" i="3" s="1"/>
  <c r="L23" i="1" l="1"/>
  <c r="N10" i="3" s="1"/>
  <c r="G26" i="2"/>
  <c r="L26" i="1"/>
  <c r="N13" i="3" s="1"/>
  <c r="K26" i="1"/>
  <c r="M13" i="3" s="1"/>
  <c r="H32" i="3"/>
  <c r="G6" i="2"/>
  <c r="F11" i="3"/>
  <c r="W12" i="3"/>
  <c r="E12" i="3"/>
  <c r="L32" i="1"/>
  <c r="N20" i="3" s="1"/>
  <c r="P32" i="1"/>
  <c r="J27" i="1" l="1"/>
  <c r="L14" i="3" s="1"/>
  <c r="R6" i="1"/>
  <c r="T21" i="1"/>
  <c r="N24" i="3" s="1"/>
  <c r="W21" i="1"/>
  <c r="N32" i="3" s="1"/>
  <c r="J35" i="2"/>
  <c r="AE14" i="3" s="1"/>
  <c r="N5" i="2"/>
  <c r="Z32" i="3" s="1"/>
  <c r="V5" i="2"/>
  <c r="AI20" i="3" s="1"/>
  <c r="J5" i="2"/>
  <c r="V32" i="3" s="1"/>
  <c r="G24" i="2"/>
  <c r="Z26" i="3"/>
  <c r="G21" i="2"/>
  <c r="X12" i="3"/>
  <c r="F12" i="3"/>
  <c r="W13" i="3"/>
  <c r="X13" i="3" s="1"/>
  <c r="E13" i="3"/>
  <c r="L27" i="1" l="1"/>
  <c r="T22" i="1" s="1"/>
  <c r="W22" i="1" s="1"/>
  <c r="L5" i="2"/>
  <c r="X32" i="3" s="1"/>
  <c r="G27" i="2"/>
  <c r="V6" i="2" s="1"/>
  <c r="AI21" i="3" s="1"/>
  <c r="Z29" i="3"/>
  <c r="V29" i="3"/>
  <c r="X29" i="3" s="1"/>
  <c r="W14" i="3"/>
  <c r="X14" i="3" s="1"/>
  <c r="F13" i="3"/>
  <c r="E14" i="3"/>
  <c r="F14" i="3" s="1"/>
  <c r="W15" i="3" l="1"/>
  <c r="N14" i="3"/>
  <c r="L34" i="3"/>
  <c r="N34" i="3" s="1"/>
  <c r="W24" i="1"/>
  <c r="N36" i="3" s="1"/>
  <c r="L29" i="1"/>
  <c r="N16" i="3" s="1"/>
  <c r="J20" i="2"/>
  <c r="L20" i="2" s="1"/>
  <c r="X36" i="3" s="1"/>
  <c r="J6" i="2"/>
  <c r="V33" i="3" s="1"/>
  <c r="T24" i="1"/>
  <c r="N28" i="3" s="1"/>
  <c r="L26" i="3"/>
  <c r="N26" i="3" s="1"/>
  <c r="J19" i="2"/>
  <c r="V35" i="3" s="1"/>
  <c r="N6" i="2"/>
  <c r="Z33" i="3" s="1"/>
  <c r="E15" i="3"/>
  <c r="F15" i="3" s="1"/>
  <c r="X15" i="3"/>
  <c r="W16" i="3"/>
  <c r="W17" i="3" s="1"/>
  <c r="X17" i="3" s="1"/>
  <c r="M16" i="3" l="1"/>
  <c r="M36" i="3"/>
  <c r="V36" i="3"/>
  <c r="L6" i="2"/>
  <c r="X33" i="3" s="1"/>
  <c r="I15" i="2"/>
  <c r="I16" i="2" s="1"/>
  <c r="R5" i="1"/>
  <c r="M38" i="3" s="1"/>
  <c r="M28" i="3"/>
  <c r="F15" i="2"/>
  <c r="L21" i="2" s="1"/>
  <c r="N21" i="2" s="1"/>
  <c r="Z37" i="3" s="1"/>
  <c r="L19" i="2"/>
  <c r="X35" i="3" s="1"/>
  <c r="E16" i="3"/>
  <c r="E17" i="3" s="1"/>
  <c r="F17" i="3" s="1"/>
  <c r="W18" i="3"/>
  <c r="X18" i="3" s="1"/>
  <c r="X16" i="3"/>
  <c r="W19" i="3"/>
  <c r="X19" i="3" s="1"/>
  <c r="J34" i="2" l="1"/>
  <c r="AG16" i="3" s="1"/>
  <c r="N38" i="3"/>
  <c r="N19" i="2"/>
  <c r="Z35" i="3" s="1"/>
  <c r="F16" i="3"/>
  <c r="X37" i="3"/>
  <c r="G29" i="2"/>
  <c r="E18" i="3"/>
  <c r="F18" i="3" s="1"/>
  <c r="W20" i="3"/>
  <c r="X20" i="3" s="1"/>
  <c r="W21" i="3" l="1"/>
  <c r="X21" i="3" s="1"/>
  <c r="AE13" i="3"/>
  <c r="AG13" i="3"/>
  <c r="E19" i="3"/>
  <c r="E20" i="3" s="1"/>
  <c r="J24" i="2"/>
  <c r="L24" i="2" s="1"/>
  <c r="X40" i="3" s="1"/>
  <c r="J22" i="2"/>
  <c r="V38" i="3" s="1"/>
  <c r="F19" i="3" l="1"/>
  <c r="L22" i="2"/>
  <c r="N22" i="2" s="1"/>
  <c r="Z38" i="3" s="1"/>
  <c r="V40" i="3"/>
  <c r="N24" i="2"/>
  <c r="Z40" i="3" s="1"/>
  <c r="G33" i="2"/>
  <c r="F20" i="3"/>
  <c r="E21" i="3"/>
  <c r="F21" i="3" s="1"/>
  <c r="X38" i="3" l="1"/>
  <c r="X8" i="3"/>
  <c r="G32" i="2"/>
  <c r="G34" i="2" s="1"/>
  <c r="AB4" i="5" l="1"/>
  <c r="AF4" i="5" s="1"/>
  <c r="L27" i="2"/>
  <c r="AG5" i="3" s="1"/>
  <c r="J26" i="2"/>
  <c r="AE4" i="3" l="1"/>
  <c r="L26" i="2"/>
  <c r="AG4" i="3" s="1"/>
  <c r="L29" i="2"/>
  <c r="AG7" i="3" s="1"/>
  <c r="K29" i="2"/>
  <c r="AF7" i="3" s="1"/>
  <c r="J30" i="2" l="1"/>
  <c r="AE8" i="3" l="1"/>
  <c r="L30" i="2"/>
  <c r="AG8" i="3" s="1"/>
  <c r="L32" i="2" l="1"/>
  <c r="N32" i="2" l="1"/>
  <c r="AI10" i="3" s="1"/>
  <c r="P34" i="2"/>
  <c r="R5" i="2"/>
  <c r="AE20" i="3" s="1"/>
  <c r="AF10" i="3"/>
  <c r="AG10" i="3"/>
  <c r="T5" i="2" l="1"/>
  <c r="AG20" i="3" s="1"/>
  <c r="AE16" i="3"/>
  <c r="R6" i="2"/>
  <c r="AE21" i="3" s="1"/>
  <c r="T6" i="2" l="1"/>
  <c r="AG21"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<sst xmlns="http://schemas.openxmlformats.org/spreadsheetml/2006/main" count="567" uniqueCount="229">
  <si>
    <t>DATE</t>
    <phoneticPr fontId="2"/>
  </si>
  <si>
    <t>年</t>
    <rPh sb="0" eb="1">
      <t>ネン</t>
    </rPh>
    <phoneticPr fontId="2"/>
  </si>
  <si>
    <t>月</t>
    <rPh sb="0" eb="1">
      <t>ガツ</t>
    </rPh>
    <phoneticPr fontId="2"/>
  </si>
  <si>
    <t>日</t>
    <rPh sb="0" eb="1">
      <t>ニチ</t>
    </rPh>
    <phoneticPr fontId="2"/>
  </si>
  <si>
    <t>1020</t>
    <phoneticPr fontId="2"/>
  </si>
  <si>
    <t>SAT</t>
    <phoneticPr fontId="2"/>
  </si>
  <si>
    <t>D.R.P.</t>
    <phoneticPr fontId="2"/>
  </si>
  <si>
    <t>Answer</t>
    <phoneticPr fontId="2"/>
  </si>
  <si>
    <t>lat.</t>
    <phoneticPr fontId="2"/>
  </si>
  <si>
    <t>°</t>
    <phoneticPr fontId="2"/>
  </si>
  <si>
    <t>.'</t>
    <phoneticPr fontId="2"/>
  </si>
  <si>
    <t>N</t>
    <phoneticPr fontId="2"/>
  </si>
  <si>
    <t>→</t>
    <phoneticPr fontId="2"/>
  </si>
  <si>
    <t>I'cept</t>
    <phoneticPr fontId="2"/>
  </si>
  <si>
    <t>Long.</t>
    <phoneticPr fontId="2"/>
  </si>
  <si>
    <t>E</t>
    <phoneticPr fontId="2"/>
  </si>
  <si>
    <t>Z</t>
    <phoneticPr fontId="2"/>
  </si>
  <si>
    <t>temp.</t>
    <phoneticPr fontId="2"/>
  </si>
  <si>
    <t>Baro.</t>
    <phoneticPr fontId="2"/>
  </si>
  <si>
    <t>UT</t>
    <phoneticPr fontId="2"/>
  </si>
  <si>
    <t>Ao</t>
    <phoneticPr fontId="2"/>
  </si>
  <si>
    <t>1回目</t>
    <rPh sb="1" eb="3">
      <t>カイメ</t>
    </rPh>
    <phoneticPr fontId="2"/>
  </si>
  <si>
    <r>
      <t>ｈ</t>
    </r>
    <r>
      <rPr>
        <sz val="11"/>
        <color theme="1"/>
        <rFont val="MS UI Gothic"/>
        <family val="3"/>
        <charset val="128"/>
      </rPr>
      <t>-</t>
    </r>
    <phoneticPr fontId="2"/>
  </si>
  <si>
    <r>
      <t>ｍ</t>
    </r>
    <r>
      <rPr>
        <sz val="11"/>
        <color theme="1"/>
        <rFont val="MS UI Gothic"/>
        <family val="3"/>
        <charset val="128"/>
      </rPr>
      <t>-</t>
    </r>
    <phoneticPr fontId="2"/>
  </si>
  <si>
    <t>ｓ</t>
    <phoneticPr fontId="2"/>
  </si>
  <si>
    <t>2回目</t>
    <rPh sb="1" eb="2">
      <t>カイ</t>
    </rPh>
    <rPh sb="2" eb="3">
      <t>メ</t>
    </rPh>
    <phoneticPr fontId="2"/>
  </si>
  <si>
    <t>3回目</t>
    <rPh sb="1" eb="3">
      <t>カイメ</t>
    </rPh>
    <phoneticPr fontId="2"/>
  </si>
  <si>
    <t>traverse table</t>
    <phoneticPr fontId="2"/>
  </si>
  <si>
    <t>SUN</t>
    <phoneticPr fontId="2"/>
  </si>
  <si>
    <t>W.P.</t>
    <phoneticPr fontId="2"/>
  </si>
  <si>
    <t>Co.</t>
    <phoneticPr fontId="2"/>
  </si>
  <si>
    <t>Dist.</t>
    <phoneticPr fontId="2"/>
  </si>
  <si>
    <t>D.lat</t>
    <phoneticPr fontId="2"/>
  </si>
  <si>
    <t>GHA</t>
    <phoneticPr fontId="2"/>
  </si>
  <si>
    <t>Dec.</t>
    <phoneticPr fontId="2"/>
  </si>
  <si>
    <t>Dep.</t>
    <phoneticPr fontId="2"/>
  </si>
  <si>
    <t>S</t>
    <phoneticPr fontId="2"/>
  </si>
  <si>
    <t>D.Long.</t>
    <phoneticPr fontId="2"/>
  </si>
  <si>
    <t>lat. fro.</t>
    <phoneticPr fontId="2"/>
  </si>
  <si>
    <r>
      <t>h</t>
    </r>
    <r>
      <rPr>
        <sz val="11"/>
        <color theme="1"/>
        <rFont val="MS UI Gothic"/>
        <family val="3"/>
        <charset val="128"/>
      </rPr>
      <t>-</t>
    </r>
    <phoneticPr fontId="2"/>
  </si>
  <si>
    <r>
      <t>m</t>
    </r>
    <r>
      <rPr>
        <sz val="11"/>
        <color theme="1"/>
        <rFont val="MS UI Gothic"/>
        <family val="3"/>
        <charset val="128"/>
      </rPr>
      <t>-</t>
    </r>
    <phoneticPr fontId="2"/>
  </si>
  <si>
    <t>s</t>
    <phoneticPr fontId="2"/>
  </si>
  <si>
    <t>2回目</t>
    <phoneticPr fontId="2"/>
  </si>
  <si>
    <t>Long. fro.</t>
    <phoneticPr fontId="2"/>
  </si>
  <si>
    <r>
      <t>h</t>
    </r>
    <r>
      <rPr>
        <vertAlign val="subscript"/>
        <sz val="11"/>
        <color theme="1"/>
        <rFont val="MS UI Gothic"/>
        <family val="3"/>
        <charset val="128"/>
      </rPr>
      <t>G</t>
    </r>
    <phoneticPr fontId="2"/>
  </si>
  <si>
    <t>⊿</t>
    <phoneticPr fontId="2"/>
  </si>
  <si>
    <t>↓</t>
    <phoneticPr fontId="2"/>
  </si>
  <si>
    <t>lat. in</t>
    <phoneticPr fontId="2"/>
  </si>
  <si>
    <t>h</t>
    <phoneticPr fontId="2"/>
  </si>
  <si>
    <t>Long. in.</t>
    <phoneticPr fontId="2"/>
  </si>
  <si>
    <t>At</t>
    <phoneticPr fontId="2"/>
  </si>
  <si>
    <t>Ac</t>
    <phoneticPr fontId="2"/>
  </si>
  <si>
    <t>MAN</t>
    <phoneticPr fontId="2"/>
  </si>
  <si>
    <r>
      <t>A</t>
    </r>
    <r>
      <rPr>
        <vertAlign val="subscript"/>
        <sz val="11"/>
        <color theme="1"/>
        <rFont val="MS UI Gothic"/>
        <family val="3"/>
        <charset val="128"/>
      </rPr>
      <t>2</t>
    </r>
    <phoneticPr fontId="2"/>
  </si>
  <si>
    <t>-</t>
    <phoneticPr fontId="2"/>
  </si>
  <si>
    <t>I</t>
    <phoneticPr fontId="2"/>
  </si>
  <si>
    <t>d</t>
    <phoneticPr fontId="2"/>
  </si>
  <si>
    <t>DIP</t>
    <phoneticPr fontId="2"/>
  </si>
  <si>
    <t>+</t>
    <phoneticPr fontId="2"/>
  </si>
  <si>
    <r>
      <t>A</t>
    </r>
    <r>
      <rPr>
        <vertAlign val="subscript"/>
        <sz val="11"/>
        <color theme="1"/>
        <rFont val="MS UI Gothic"/>
        <family val="3"/>
        <charset val="128"/>
      </rPr>
      <t>4</t>
    </r>
    <phoneticPr fontId="2"/>
  </si>
  <si>
    <t>＊＊正午観測 諸計算＊＊＊</t>
    <rPh sb="2" eb="4">
      <t>ショウゴ</t>
    </rPh>
    <rPh sb="4" eb="5">
      <t>カン</t>
    </rPh>
    <rPh sb="7" eb="8">
      <t>ショ</t>
    </rPh>
    <rPh sb="8" eb="10">
      <t>ケイサン</t>
    </rPh>
    <phoneticPr fontId="2"/>
  </si>
  <si>
    <t>N.N.</t>
    <phoneticPr fontId="2"/>
  </si>
  <si>
    <t>ANSWER</t>
    <phoneticPr fontId="2"/>
  </si>
  <si>
    <t>lat. In</t>
    <phoneticPr fontId="2"/>
  </si>
  <si>
    <t>Long. in</t>
    <phoneticPr fontId="2"/>
  </si>
  <si>
    <t>Day</t>
    <phoneticPr fontId="2"/>
  </si>
  <si>
    <t>Eqn. of Time</t>
    <phoneticPr fontId="2"/>
  </si>
  <si>
    <t>DfromZ</t>
    <phoneticPr fontId="2"/>
  </si>
  <si>
    <t>h-</t>
    <phoneticPr fontId="2"/>
  </si>
  <si>
    <t>m</t>
    <phoneticPr fontId="2"/>
  </si>
  <si>
    <t>00h</t>
    <phoneticPr fontId="2"/>
  </si>
  <si>
    <t>12h</t>
    <phoneticPr fontId="2"/>
  </si>
  <si>
    <t>網掛け</t>
    <rPh sb="0" eb="2">
      <t>アミカ</t>
    </rPh>
    <phoneticPr fontId="2"/>
  </si>
  <si>
    <t>13</t>
    <phoneticPr fontId="2"/>
  </si>
  <si>
    <t>18</t>
    <phoneticPr fontId="2"/>
  </si>
  <si>
    <t>LAT</t>
    <phoneticPr fontId="2"/>
  </si>
  <si>
    <r>
      <rPr>
        <vertAlign val="superscript"/>
        <sz val="11"/>
        <color theme="1"/>
        <rFont val="MS UI Gothic"/>
        <family val="3"/>
        <charset val="128"/>
      </rPr>
      <t>h</t>
    </r>
    <r>
      <rPr>
        <sz val="11"/>
        <color theme="1"/>
        <rFont val="MS UI Gothic"/>
        <family val="3"/>
        <charset val="128"/>
      </rPr>
      <t>-</t>
    </r>
    <phoneticPr fontId="2"/>
  </si>
  <si>
    <r>
      <rPr>
        <vertAlign val="superscript"/>
        <sz val="11"/>
        <color theme="1"/>
        <rFont val="MS UI Gothic"/>
        <family val="3"/>
        <charset val="128"/>
      </rPr>
      <t>m</t>
    </r>
    <r>
      <rPr>
        <sz val="11"/>
        <color theme="1"/>
        <rFont val="MS UI Gothic"/>
        <family val="3"/>
        <charset val="128"/>
      </rPr>
      <t>-</t>
    </r>
    <phoneticPr fontId="2"/>
  </si>
  <si>
    <t>LinT</t>
    <phoneticPr fontId="2"/>
  </si>
  <si>
    <t>m-</t>
    <phoneticPr fontId="2"/>
  </si>
  <si>
    <t>(-</t>
    <phoneticPr fontId="2"/>
  </si>
  <si>
    <t>GAT</t>
    <phoneticPr fontId="2"/>
  </si>
  <si>
    <t>Eqn.T</t>
    <phoneticPr fontId="2"/>
  </si>
  <si>
    <t>(+</t>
    <phoneticPr fontId="2"/>
  </si>
  <si>
    <t>M.T</t>
    <phoneticPr fontId="2"/>
  </si>
  <si>
    <r>
      <t>corr</t>
    </r>
    <r>
      <rPr>
        <vertAlign val="subscript"/>
        <sz val="11"/>
        <color theme="1"/>
        <rFont val="MS UI Gothic"/>
        <family val="3"/>
        <charset val="128"/>
      </rPr>
      <t>1</t>
    </r>
    <phoneticPr fontId="2"/>
  </si>
  <si>
    <t>⊿Long</t>
    <phoneticPr fontId="2"/>
  </si>
  <si>
    <r>
      <t>corr</t>
    </r>
    <r>
      <rPr>
        <vertAlign val="subscript"/>
        <sz val="11"/>
        <color theme="1"/>
        <rFont val="MS UI Gothic"/>
        <family val="3"/>
        <charset val="128"/>
      </rPr>
      <t>2</t>
    </r>
    <phoneticPr fontId="2"/>
  </si>
  <si>
    <t>＊＊＊午前観測＊＊＊</t>
    <rPh sb="3" eb="5">
      <t>ゴゼン</t>
    </rPh>
    <rPh sb="5" eb="7">
      <t>カンソク</t>
    </rPh>
    <phoneticPr fontId="2"/>
  </si>
  <si>
    <t>＊＊＊正午観測＊＊＊</t>
    <rPh sb="3" eb="5">
      <t>ショウゴ</t>
    </rPh>
    <rPh sb="5" eb="7">
      <t>カンソク</t>
    </rPh>
    <phoneticPr fontId="2"/>
  </si>
  <si>
    <t>cond.</t>
    <phoneticPr fontId="2"/>
  </si>
  <si>
    <t>℃</t>
    <phoneticPr fontId="2"/>
  </si>
  <si>
    <t>cond.</t>
  </si>
  <si>
    <t>temp.</t>
  </si>
  <si>
    <t>℃</t>
  </si>
  <si>
    <t>hPa</t>
    <phoneticPr fontId="2"/>
  </si>
  <si>
    <t>Baro.</t>
  </si>
  <si>
    <t>hPa</t>
  </si>
  <si>
    <t>&lt;・</t>
    <phoneticPr fontId="2"/>
  </si>
  <si>
    <t>&lt;・</t>
  </si>
  <si>
    <t>m</t>
  </si>
  <si>
    <t>Co.</t>
  </si>
  <si>
    <t>Dist.</t>
  </si>
  <si>
    <t>traverse table</t>
  </si>
  <si>
    <t>.'</t>
  </si>
  <si>
    <t/>
  </si>
  <si>
    <t>lat in.</t>
    <phoneticPr fontId="2"/>
  </si>
  <si>
    <t>Long in.</t>
    <phoneticPr fontId="2"/>
  </si>
  <si>
    <r>
      <t>Ao</t>
    </r>
    <r>
      <rPr>
        <vertAlign val="subscript"/>
        <sz val="11"/>
        <color theme="1"/>
        <rFont val="MS UI Gothic"/>
        <family val="3"/>
        <charset val="128"/>
      </rPr>
      <t>2</t>
    </r>
    <phoneticPr fontId="2"/>
  </si>
  <si>
    <t>lat.</t>
  </si>
  <si>
    <t>°</t>
  </si>
  <si>
    <r>
      <t>At</t>
    </r>
    <r>
      <rPr>
        <vertAlign val="subscript"/>
        <sz val="11"/>
        <color theme="1"/>
        <rFont val="MS UI Gothic"/>
        <family val="3"/>
        <charset val="128"/>
      </rPr>
      <t>2</t>
    </r>
    <phoneticPr fontId="2"/>
  </si>
  <si>
    <t>Long.</t>
  </si>
  <si>
    <r>
      <t>I'cept</t>
    </r>
    <r>
      <rPr>
        <vertAlign val="subscript"/>
        <sz val="11"/>
        <color theme="1"/>
        <rFont val="MS UI Gothic"/>
        <family val="3"/>
        <charset val="128"/>
      </rPr>
      <t>2</t>
    </r>
    <phoneticPr fontId="2"/>
  </si>
  <si>
    <t>D.lat</t>
  </si>
  <si>
    <t>D.Long.</t>
  </si>
  <si>
    <t>D.R.P.</t>
  </si>
  <si>
    <r>
      <t>At</t>
    </r>
    <r>
      <rPr>
        <vertAlign val="subscript"/>
        <sz val="11"/>
        <color theme="1"/>
        <rFont val="MS UI Gothic"/>
        <family val="3"/>
        <charset val="128"/>
      </rPr>
      <t>3</t>
    </r>
    <phoneticPr fontId="2"/>
  </si>
  <si>
    <t>LHA</t>
    <phoneticPr fontId="2"/>
  </si>
  <si>
    <t>s</t>
  </si>
  <si>
    <r>
      <t>Ao</t>
    </r>
    <r>
      <rPr>
        <vertAlign val="subscript"/>
        <sz val="11"/>
        <color theme="1"/>
        <rFont val="MS UI Gothic"/>
        <family val="3"/>
        <charset val="128"/>
      </rPr>
      <t>3</t>
    </r>
    <phoneticPr fontId="2"/>
  </si>
  <si>
    <r>
      <t>I'cept</t>
    </r>
    <r>
      <rPr>
        <vertAlign val="subscript"/>
        <sz val="11"/>
        <color theme="1"/>
        <rFont val="MS UI Gothic"/>
        <family val="3"/>
        <charset val="128"/>
      </rPr>
      <t>3</t>
    </r>
    <phoneticPr fontId="2"/>
  </si>
  <si>
    <t>I'cept ave.</t>
    <phoneticPr fontId="2"/>
  </si>
  <si>
    <t>M.T.</t>
    <phoneticPr fontId="2"/>
  </si>
  <si>
    <t>A</t>
    <phoneticPr fontId="2"/>
  </si>
  <si>
    <t>B</t>
    <phoneticPr fontId="2"/>
  </si>
  <si>
    <t>C</t>
    <phoneticPr fontId="2"/>
  </si>
  <si>
    <t>D</t>
    <phoneticPr fontId="2"/>
  </si>
  <si>
    <t>F</t>
    <phoneticPr fontId="2"/>
  </si>
  <si>
    <t>G</t>
    <phoneticPr fontId="2"/>
  </si>
  <si>
    <t>H</t>
    <phoneticPr fontId="2"/>
  </si>
  <si>
    <t>J</t>
    <phoneticPr fontId="2"/>
  </si>
  <si>
    <t>K</t>
    <phoneticPr fontId="2"/>
  </si>
  <si>
    <t>L</t>
    <phoneticPr fontId="2"/>
  </si>
  <si>
    <t>M</t>
    <phoneticPr fontId="2"/>
  </si>
  <si>
    <t>P</t>
    <phoneticPr fontId="2"/>
  </si>
  <si>
    <t>午前</t>
    <rPh sb="0" eb="2">
      <t>ゴゼン</t>
    </rPh>
    <phoneticPr fontId="2"/>
  </si>
  <si>
    <t>正午</t>
    <rPh sb="0" eb="2">
      <t>ショウゴ</t>
    </rPh>
    <phoneticPr fontId="2"/>
  </si>
  <si>
    <t>＊＊＊午前観測 諸計算＊＊＊</t>
    <phoneticPr fontId="2"/>
  </si>
  <si>
    <t>Ht. of Eye</t>
    <phoneticPr fontId="2"/>
  </si>
  <si>
    <r>
      <t>Corr</t>
    </r>
    <r>
      <rPr>
        <vertAlign val="superscript"/>
        <sz val="11"/>
        <color theme="1"/>
        <rFont val="MS UI Gothic"/>
        <family val="3"/>
        <charset val="128"/>
      </rPr>
      <t>n</t>
    </r>
    <phoneticPr fontId="2"/>
  </si>
  <si>
    <t>OCT-MAR</t>
    <phoneticPr fontId="2"/>
  </si>
  <si>
    <t>APR-SEPT.</t>
    <phoneticPr fontId="2"/>
  </si>
  <si>
    <t>App.
Alt.</t>
    <phoneticPr fontId="2"/>
  </si>
  <si>
    <t>Lower
Limb</t>
    <phoneticPr fontId="2"/>
  </si>
  <si>
    <t>Upper
Limb</t>
    <phoneticPr fontId="2"/>
  </si>
  <si>
    <t>Ver.1.1.8 Created by Very Micro Soft</t>
    <phoneticPr fontId="2"/>
  </si>
  <si>
    <t>最大限活用していただくために、本シートをお読みください。</t>
    <rPh sb="0" eb="3">
      <t>サイダイゲン</t>
    </rPh>
    <rPh sb="3" eb="5">
      <t>カツヨウ</t>
    </rPh>
    <rPh sb="15" eb="16">
      <t>ホン</t>
    </rPh>
    <rPh sb="21" eb="22">
      <t>ヨ</t>
    </rPh>
    <phoneticPr fontId="2"/>
  </si>
  <si>
    <t>この度は「太陽の各時観測.xlsx」をダウンロードいただきありがとうございます。</t>
    <rPh sb="2" eb="3">
      <t>タビ</t>
    </rPh>
    <rPh sb="5" eb="7">
      <t>タイヨウ</t>
    </rPh>
    <rPh sb="8" eb="9">
      <t>カク</t>
    </rPh>
    <rPh sb="9" eb="10">
      <t>トキ</t>
    </rPh>
    <rPh sb="10" eb="12">
      <t>カンソク</t>
    </rPh>
    <phoneticPr fontId="2"/>
  </si>
  <si>
    <t>・</t>
    <phoneticPr fontId="2"/>
  </si>
  <si>
    <t>午前観測</t>
    <rPh sb="0" eb="4">
      <t>ゴゼンカンソク</t>
    </rPh>
    <phoneticPr fontId="2"/>
  </si>
  <si>
    <t>正午観測</t>
    <rPh sb="0" eb="2">
      <t>ショウゴ</t>
    </rPh>
    <rPh sb="2" eb="4">
      <t>カンソク</t>
    </rPh>
    <phoneticPr fontId="2"/>
  </si>
  <si>
    <t>：</t>
    <phoneticPr fontId="2"/>
  </si>
  <si>
    <t>ノート</t>
    <phoneticPr fontId="2"/>
  </si>
  <si>
    <t>A2</t>
    <phoneticPr fontId="2"/>
  </si>
  <si>
    <t>A4</t>
    <phoneticPr fontId="2"/>
  </si>
  <si>
    <t>午前観測計算に用います。</t>
    <rPh sb="0" eb="4">
      <t>ゴゼンカンソク</t>
    </rPh>
    <rPh sb="4" eb="6">
      <t>ケイサン</t>
    </rPh>
    <rPh sb="7" eb="8">
      <t>モチ</t>
    </rPh>
    <phoneticPr fontId="2"/>
  </si>
  <si>
    <t>正午観測計算に用います。</t>
    <rPh sb="0" eb="4">
      <t>ショウゴカンソク</t>
    </rPh>
    <rPh sb="4" eb="6">
      <t>ケイサン</t>
    </rPh>
    <rPh sb="7" eb="8">
      <t>モチ</t>
    </rPh>
    <phoneticPr fontId="2"/>
  </si>
  <si>
    <t>計算結果の確認に用います。ノートに写したり印刷する際に便利です。</t>
    <rPh sb="0" eb="4">
      <t>ケイサンケッカ</t>
    </rPh>
    <rPh sb="5" eb="7">
      <t>カクニン</t>
    </rPh>
    <rPh sb="8" eb="9">
      <t>モチ</t>
    </rPh>
    <rPh sb="17" eb="18">
      <t>ウツ</t>
    </rPh>
    <rPh sb="21" eb="23">
      <t>インサツ</t>
    </rPh>
    <rPh sb="25" eb="26">
      <t>サイ</t>
    </rPh>
    <rPh sb="27" eb="29">
      <t>ベンリ</t>
    </rPh>
    <phoneticPr fontId="2"/>
  </si>
  <si>
    <t>A2改正を行うためのデータが格納されています。必要時以外は値を変更しないでください。（初期設定：非表示）</t>
    <rPh sb="2" eb="4">
      <t>カイセイ</t>
    </rPh>
    <rPh sb="5" eb="6">
      <t>オコナ</t>
    </rPh>
    <rPh sb="14" eb="16">
      <t>カクノウ</t>
    </rPh>
    <rPh sb="23" eb="26">
      <t>ヒツヨウジ</t>
    </rPh>
    <rPh sb="26" eb="28">
      <t>イガイ</t>
    </rPh>
    <rPh sb="29" eb="30">
      <t>アタイ</t>
    </rPh>
    <rPh sb="31" eb="33">
      <t>ヘンコウ</t>
    </rPh>
    <rPh sb="43" eb="47">
      <t>ショキセッテイ</t>
    </rPh>
    <rPh sb="48" eb="51">
      <t>ヒヒョウジ</t>
    </rPh>
    <phoneticPr fontId="2"/>
  </si>
  <si>
    <t>DIP改正を行うためのデータが格納されています。必要時以外は値を変更しないでください。（初期設定：非表示)</t>
    <rPh sb="3" eb="5">
      <t>カイセイ</t>
    </rPh>
    <rPh sb="6" eb="7">
      <t>オコナ</t>
    </rPh>
    <rPh sb="15" eb="17">
      <t>カクノウ</t>
    </rPh>
    <rPh sb="24" eb="27">
      <t>ヒツヨウジ</t>
    </rPh>
    <rPh sb="27" eb="29">
      <t>イガイ</t>
    </rPh>
    <rPh sb="30" eb="31">
      <t>アタイ</t>
    </rPh>
    <rPh sb="32" eb="34">
      <t>ヘンコウ</t>
    </rPh>
    <rPh sb="44" eb="48">
      <t>ショキセッテイ</t>
    </rPh>
    <rPh sb="49" eb="52">
      <t>ヒヒョウジ</t>
    </rPh>
    <phoneticPr fontId="2"/>
  </si>
  <si>
    <t>A4改正を行うためのデータが格納されています。必要時以外は値を変更しないでください。（初期設定：非表示）</t>
    <rPh sb="2" eb="4">
      <t>カイセイ</t>
    </rPh>
    <rPh sb="5" eb="6">
      <t>オコナ</t>
    </rPh>
    <rPh sb="14" eb="16">
      <t>カクノウ</t>
    </rPh>
    <rPh sb="23" eb="26">
      <t>ヒツヨウジ</t>
    </rPh>
    <rPh sb="26" eb="28">
      <t>イガイ</t>
    </rPh>
    <rPh sb="29" eb="30">
      <t>アタイ</t>
    </rPh>
    <rPh sb="31" eb="33">
      <t>ヘンコウ</t>
    </rPh>
    <rPh sb="43" eb="47">
      <t>ショキセッテイ</t>
    </rPh>
    <rPh sb="48" eb="51">
      <t>ヒヒョウジ</t>
    </rPh>
    <phoneticPr fontId="2"/>
  </si>
  <si>
    <t>Help</t>
    <phoneticPr fontId="2"/>
  </si>
  <si>
    <t>&lt;本ワークブックに含まれるシート&gt;</t>
    <rPh sb="1" eb="2">
      <t>ホン</t>
    </rPh>
    <rPh sb="9" eb="10">
      <t>フク</t>
    </rPh>
    <phoneticPr fontId="2"/>
  </si>
  <si>
    <t>本シートです。太陽の隔時観測.xlsxの使用方法の説明が記載されています。</t>
    <rPh sb="0" eb="1">
      <t>ホン</t>
    </rPh>
    <rPh sb="7" eb="9">
      <t>タイヨウ</t>
    </rPh>
    <rPh sb="10" eb="11">
      <t>カク</t>
    </rPh>
    <rPh sb="11" eb="12">
      <t>トキ</t>
    </rPh>
    <rPh sb="12" eb="14">
      <t>カンソク</t>
    </rPh>
    <rPh sb="20" eb="22">
      <t>シヨウ</t>
    </rPh>
    <rPh sb="22" eb="24">
      <t>ホウホウ</t>
    </rPh>
    <rPh sb="25" eb="27">
      <t>セツメイ</t>
    </rPh>
    <rPh sb="28" eb="30">
      <t>キサイ</t>
    </rPh>
    <phoneticPr fontId="2"/>
  </si>
  <si>
    <t>Help：太陽の隔時観測.xlsx</t>
    <rPh sb="5" eb="7">
      <t>タイヨウ</t>
    </rPh>
    <rPh sb="8" eb="9">
      <t>カク</t>
    </rPh>
    <rPh sb="9" eb="10">
      <t>ジ</t>
    </rPh>
    <rPh sb="10" eb="12">
      <t>カンソク</t>
    </rPh>
    <phoneticPr fontId="2"/>
  </si>
  <si>
    <t>＜操作方法＞</t>
    <rPh sb="1" eb="5">
      <t>ソウサホウホウ</t>
    </rPh>
    <phoneticPr fontId="2"/>
  </si>
  <si>
    <t>この色のセルに値を入力します。</t>
    <rPh sb="2" eb="3">
      <t>イロ</t>
    </rPh>
    <rPh sb="7" eb="8">
      <t>アタイ</t>
    </rPh>
    <rPh sb="9" eb="11">
      <t>ニュウリョク</t>
    </rPh>
    <phoneticPr fontId="2"/>
  </si>
  <si>
    <t>チェックボックスにチェックを入れると動作が変わります。</t>
    <rPh sb="14" eb="15">
      <t>イ</t>
    </rPh>
    <rPh sb="18" eb="20">
      <t>ドウサ</t>
    </rPh>
    <rPh sb="21" eb="22">
      <t>カ</t>
    </rPh>
    <phoneticPr fontId="2"/>
  </si>
  <si>
    <t>＜用意するもの＞</t>
    <rPh sb="1" eb="3">
      <t>ヨウイ</t>
    </rPh>
    <phoneticPr fontId="2"/>
  </si>
  <si>
    <t>英国版Nautical Armanac（天測歴）</t>
    <rPh sb="0" eb="3">
      <t>エイコクバン</t>
    </rPh>
    <rPh sb="20" eb="23">
      <t>テンソクレキ</t>
    </rPh>
    <phoneticPr fontId="2"/>
  </si>
  <si>
    <t>【午前観測】</t>
    <rPh sb="1" eb="5">
      <t>ゴゼンカンソク</t>
    </rPh>
    <phoneticPr fontId="2"/>
  </si>
  <si>
    <t>058</t>
    <phoneticPr fontId="2"/>
  </si>
  <si>
    <t>072</t>
    <phoneticPr fontId="2"/>
  </si>
  <si>
    <t>067</t>
    <phoneticPr fontId="2"/>
  </si>
  <si>
    <t>075</t>
    <phoneticPr fontId="2"/>
  </si>
  <si>
    <t>060</t>
    <phoneticPr fontId="2"/>
  </si>
  <si>
    <t>某</t>
    <rPh sb="0" eb="1">
      <t>ボウ</t>
    </rPh>
    <phoneticPr fontId="2"/>
  </si>
  <si>
    <t>030</t>
    <phoneticPr fontId="2"/>
  </si>
  <si>
    <t>068</t>
    <phoneticPr fontId="2"/>
  </si>
  <si>
    <t>temp.(℃)</t>
    <phoneticPr fontId="2"/>
  </si>
  <si>
    <t>Baro.(hPa)</t>
    <phoneticPr fontId="2"/>
  </si>
  <si>
    <t>眼高(m)</t>
    <rPh sb="0" eb="1">
      <t>ガン</t>
    </rPh>
    <rPh sb="1" eb="2">
      <t>タカ</t>
    </rPh>
    <phoneticPr fontId="2"/>
  </si>
  <si>
    <t>①</t>
    <phoneticPr fontId="2"/>
  </si>
  <si>
    <t>日付および前日正午位置</t>
    <rPh sb="0" eb="2">
      <t>ヒヅケ</t>
    </rPh>
    <rPh sb="5" eb="9">
      <t>ゼンジツショウゴ</t>
    </rPh>
    <rPh sb="9" eb="11">
      <t>イチ</t>
    </rPh>
    <phoneticPr fontId="2"/>
  </si>
  <si>
    <t>日付と前日の正午位置を入力します。</t>
    <rPh sb="0" eb="2">
      <t>ヒヅケ</t>
    </rPh>
    <rPh sb="3" eb="5">
      <t>ゼンジツ</t>
    </rPh>
    <rPh sb="6" eb="8">
      <t>ショウゴ</t>
    </rPh>
    <rPh sb="8" eb="10">
      <t>イチ</t>
    </rPh>
    <rPh sb="11" eb="13">
      <t>ニュウリョク</t>
    </rPh>
    <phoneticPr fontId="2"/>
  </si>
  <si>
    <t>日付はノートへの表示およびA2改正に用います。</t>
    <rPh sb="0" eb="2">
      <t>ヒヅケ</t>
    </rPh>
    <rPh sb="8" eb="10">
      <t>ヒョウジ</t>
    </rPh>
    <rPh sb="15" eb="17">
      <t>カイセイ</t>
    </rPh>
    <rPh sb="18" eb="19">
      <t>モチ</t>
    </rPh>
    <phoneticPr fontId="2"/>
  </si>
  <si>
    <t>前日の正午位置はトラバース表を用いた連針路航法の起点になります。</t>
    <rPh sb="0" eb="2">
      <t>ゼンジツ</t>
    </rPh>
    <rPh sb="3" eb="7">
      <t>ショウゴイチ</t>
    </rPh>
    <rPh sb="13" eb="14">
      <t>ヒョウ</t>
    </rPh>
    <rPh sb="15" eb="16">
      <t>モチ</t>
    </rPh>
    <rPh sb="18" eb="21">
      <t>レンシンロ</t>
    </rPh>
    <rPh sb="21" eb="23">
      <t>コウホウ</t>
    </rPh>
    <rPh sb="24" eb="26">
      <t>キテン</t>
    </rPh>
    <phoneticPr fontId="2"/>
  </si>
  <si>
    <t>②</t>
    <phoneticPr fontId="2"/>
  </si>
  <si>
    <t>気温、気圧および眼高</t>
    <rPh sb="0" eb="2">
      <t>キオン</t>
    </rPh>
    <rPh sb="3" eb="5">
      <t>キアツ</t>
    </rPh>
    <rPh sb="8" eb="9">
      <t>メ</t>
    </rPh>
    <rPh sb="9" eb="10">
      <t>ダカ</t>
    </rPh>
    <phoneticPr fontId="2"/>
  </si>
  <si>
    <t>気温、気圧および眼高を入力します。</t>
    <rPh sb="0" eb="2">
      <t>キオン</t>
    </rPh>
    <rPh sb="3" eb="5">
      <t>キアツ</t>
    </rPh>
    <rPh sb="8" eb="9">
      <t>メ</t>
    </rPh>
    <rPh sb="9" eb="10">
      <t>ダカ</t>
    </rPh>
    <rPh sb="11" eb="13">
      <t>ニュウリョク</t>
    </rPh>
    <phoneticPr fontId="2"/>
  </si>
  <si>
    <t>各種改正に用います。</t>
    <rPh sb="0" eb="4">
      <t>カクシュカイセイ</t>
    </rPh>
    <rPh sb="5" eb="6">
      <t>モチ</t>
    </rPh>
    <phoneticPr fontId="2"/>
  </si>
  <si>
    <t>③</t>
    <phoneticPr fontId="2"/>
  </si>
  <si>
    <t>トラバース表</t>
    <rPh sb="5" eb="6">
      <t>ヒョウ</t>
    </rPh>
    <phoneticPr fontId="2"/>
  </si>
  <si>
    <t>前日正午からのトラバース表です。</t>
    <rPh sb="0" eb="2">
      <t>ゼンジツ</t>
    </rPh>
    <rPh sb="2" eb="4">
      <t>ショウゴ</t>
    </rPh>
    <rPh sb="12" eb="13">
      <t>ヒョウ</t>
    </rPh>
    <phoneticPr fontId="2"/>
  </si>
  <si>
    <t>Dist.はログリーディングではなく、そのレグ（航程）の距離であることに留意してください。</t>
    <rPh sb="24" eb="26">
      <t>コウテイ</t>
    </rPh>
    <rPh sb="28" eb="30">
      <t>キョリ</t>
    </rPh>
    <rPh sb="36" eb="38">
      <t>リュウイ</t>
    </rPh>
    <phoneticPr fontId="2"/>
  </si>
  <si>
    <t>④</t>
    <phoneticPr fontId="2"/>
  </si>
  <si>
    <t>観測時刻および観測高度</t>
    <rPh sb="0" eb="4">
      <t>カンソクジコク</t>
    </rPh>
    <rPh sb="7" eb="11">
      <t>カンソクコウド</t>
    </rPh>
    <phoneticPr fontId="2"/>
  </si>
  <si>
    <t>太陽の観測時刻（UT）と観測高度（Ao）を入力します。</t>
    <rPh sb="0" eb="2">
      <t>タイヨウ</t>
    </rPh>
    <rPh sb="3" eb="5">
      <t>カンソク</t>
    </rPh>
    <rPh sb="5" eb="7">
      <t>ジコク</t>
    </rPh>
    <rPh sb="12" eb="16">
      <t>カンソクコウド</t>
    </rPh>
    <rPh sb="21" eb="23">
      <t>ニュウリョク</t>
    </rPh>
    <phoneticPr fontId="2"/>
  </si>
  <si>
    <t>午前観測を２回ないし３回行った場合は、チェックボックスにチェックを入れることで、平均値のインターセプトを計算できます。</t>
    <rPh sb="0" eb="4">
      <t>ゴゼンカンソク</t>
    </rPh>
    <rPh sb="6" eb="7">
      <t>カイ</t>
    </rPh>
    <rPh sb="11" eb="12">
      <t>カイ</t>
    </rPh>
    <rPh sb="12" eb="13">
      <t>オコナ</t>
    </rPh>
    <rPh sb="15" eb="17">
      <t>バアイ</t>
    </rPh>
    <rPh sb="33" eb="34">
      <t>イ</t>
    </rPh>
    <rPh sb="40" eb="43">
      <t>ヘイキンチ</t>
    </rPh>
    <rPh sb="52" eb="54">
      <t>ケイサン</t>
    </rPh>
    <phoneticPr fontId="2"/>
  </si>
  <si>
    <t>⑤</t>
    <phoneticPr fontId="2"/>
  </si>
  <si>
    <t>GHAおよびDec.</t>
    <phoneticPr fontId="2"/>
  </si>
  <si>
    <t>天測歴に記載のグリニッジ時角（GHA）および赤緯（Dec.）を入力します。</t>
    <rPh sb="0" eb="3">
      <t>テンソクレキ</t>
    </rPh>
    <rPh sb="4" eb="6">
      <t>キサイ</t>
    </rPh>
    <rPh sb="12" eb="13">
      <t>ジ</t>
    </rPh>
    <rPh sb="13" eb="14">
      <t>カク</t>
    </rPh>
    <rPh sb="22" eb="23">
      <t>アカ</t>
    </rPh>
    <rPh sb="31" eb="33">
      <t>ニュウリョク</t>
    </rPh>
    <phoneticPr fontId="2"/>
  </si>
  <si>
    <t>⑥</t>
    <phoneticPr fontId="2"/>
  </si>
  <si>
    <t>手動での改正が必要な場合は、チェックボックスにチェックを入れることで任意の改正値を代入することができます。</t>
    <rPh sb="0" eb="2">
      <t>シュドウ</t>
    </rPh>
    <rPh sb="4" eb="6">
      <t>カイセイ</t>
    </rPh>
    <rPh sb="7" eb="9">
      <t>ヒツヨウ</t>
    </rPh>
    <rPh sb="10" eb="12">
      <t>バアイ</t>
    </rPh>
    <rPh sb="28" eb="29">
      <t>イ</t>
    </rPh>
    <rPh sb="34" eb="36">
      <t>ニンイ</t>
    </rPh>
    <rPh sb="37" eb="39">
      <t>カイセイ</t>
    </rPh>
    <rPh sb="39" eb="40">
      <t>アタイ</t>
    </rPh>
    <rPh sb="41" eb="43">
      <t>ダイニュウ</t>
    </rPh>
    <phoneticPr fontId="2"/>
  </si>
  <si>
    <t>通常、A2、DIPおよびA4改正は②気温、気圧および眼高を入力することで自動改正されます。</t>
    <rPh sb="0" eb="2">
      <t>ツウジョウ</t>
    </rPh>
    <rPh sb="14" eb="16">
      <t>カイセイ</t>
    </rPh>
    <rPh sb="18" eb="20">
      <t>キオン</t>
    </rPh>
    <rPh sb="21" eb="23">
      <t>キアツ</t>
    </rPh>
    <rPh sb="26" eb="27">
      <t>ガン</t>
    </rPh>
    <rPh sb="27" eb="28">
      <t>タカ</t>
    </rPh>
    <rPh sb="29" eb="31">
      <t>ニュウリョク</t>
    </rPh>
    <rPh sb="36" eb="38">
      <t>ジドウ</t>
    </rPh>
    <rPh sb="38" eb="40">
      <t>カイセイ</t>
    </rPh>
    <phoneticPr fontId="2"/>
  </si>
  <si>
    <t>改正値</t>
    <rPh sb="0" eb="2">
      <t>カイセイ</t>
    </rPh>
    <rPh sb="2" eb="3">
      <t>アタイ</t>
    </rPh>
    <phoneticPr fontId="2"/>
  </si>
  <si>
    <t>Ans.</t>
    <phoneticPr fontId="2"/>
  </si>
  <si>
    <t>計算結果</t>
    <rPh sb="0" eb="4">
      <t>ケイサンケッカ</t>
    </rPh>
    <phoneticPr fontId="2"/>
  </si>
  <si>
    <t>午前観測の諸計算結果が表示されます。</t>
    <rPh sb="0" eb="2">
      <t>ゴゼン</t>
    </rPh>
    <rPh sb="2" eb="4">
      <t>カンソク</t>
    </rPh>
    <rPh sb="5" eb="6">
      <t>ショ</t>
    </rPh>
    <rPh sb="6" eb="8">
      <t>ケイサン</t>
    </rPh>
    <rPh sb="8" eb="10">
      <t>ケッカ</t>
    </rPh>
    <rPh sb="11" eb="13">
      <t>ヒョウジ</t>
    </rPh>
    <phoneticPr fontId="2"/>
  </si>
  <si>
    <t>詳細はノートシートで確認できます。</t>
    <rPh sb="0" eb="2">
      <t>ショウサイ</t>
    </rPh>
    <rPh sb="10" eb="12">
      <t>カクニン</t>
    </rPh>
    <phoneticPr fontId="2"/>
  </si>
  <si>
    <t>【正午観測】</t>
    <rPh sb="1" eb="3">
      <t>ショウゴ</t>
    </rPh>
    <rPh sb="3" eb="5">
      <t>カンソク</t>
    </rPh>
    <phoneticPr fontId="2"/>
  </si>
  <si>
    <t>測高度</t>
    <rPh sb="0" eb="1">
      <t>ソク</t>
    </rPh>
    <rPh sb="1" eb="3">
      <t>コウド</t>
    </rPh>
    <phoneticPr fontId="2"/>
  </si>
  <si>
    <t>太陽がメリパスしたときの測高度を入力します。</t>
    <rPh sb="0" eb="2">
      <t>タイヨウ</t>
    </rPh>
    <rPh sb="12" eb="15">
      <t>ソクコウド</t>
    </rPh>
    <rPh sb="16" eb="18">
      <t>ニュウリョク</t>
    </rPh>
    <phoneticPr fontId="2"/>
  </si>
  <si>
    <t>船内時計と世界時との差</t>
    <rPh sb="0" eb="4">
      <t>センナイドケイ</t>
    </rPh>
    <rPh sb="5" eb="8">
      <t>セカイジ</t>
    </rPh>
    <rPh sb="10" eb="11">
      <t>サ</t>
    </rPh>
    <phoneticPr fontId="2"/>
  </si>
  <si>
    <t>船内時計と世界時との差を入力します。</t>
    <rPh sb="0" eb="4">
      <t>センナイドケイ</t>
    </rPh>
    <rPh sb="5" eb="8">
      <t>セカイジ</t>
    </rPh>
    <rPh sb="10" eb="11">
      <t>サ</t>
    </rPh>
    <rPh sb="12" eb="14">
      <t>ニュウリョク</t>
    </rPh>
    <phoneticPr fontId="2"/>
  </si>
  <si>
    <t>メリパスタイムと赤緯</t>
    <rPh sb="8" eb="10">
      <t>セキイ</t>
    </rPh>
    <phoneticPr fontId="2"/>
  </si>
  <si>
    <t>天測表に記載のメリパスタイム(Eqn. of Time)と赤緯(Dec.)を入力します。</t>
    <rPh sb="0" eb="3">
      <t>テンソクヒョウ</t>
    </rPh>
    <rPh sb="4" eb="6">
      <t>キサイ</t>
    </rPh>
    <rPh sb="29" eb="31">
      <t>セキイ</t>
    </rPh>
    <rPh sb="38" eb="40">
      <t>ニュウリョク</t>
    </rPh>
    <phoneticPr fontId="2"/>
  </si>
  <si>
    <t>天測歴のメリパスタイム(Eqn. of Time)が網掛けの場合はチェックボックスにチェックを入れてください。</t>
    <rPh sb="0" eb="3">
      <t>テンソクレキ</t>
    </rPh>
    <rPh sb="26" eb="28">
      <t>アミカ</t>
    </rPh>
    <rPh sb="30" eb="32">
      <t>バアイ</t>
    </rPh>
    <rPh sb="47" eb="48">
      <t>イ</t>
    </rPh>
    <phoneticPr fontId="2"/>
  </si>
  <si>
    <t>午前観測時の推測位置からのトラバースを入力します。</t>
    <rPh sb="0" eb="4">
      <t>ゴゼンカンソク</t>
    </rPh>
    <rPh sb="4" eb="5">
      <t>ジ</t>
    </rPh>
    <rPh sb="6" eb="10">
      <t>スイソクイチ</t>
    </rPh>
    <rPh sb="19" eb="21">
      <t>ニュウリョク</t>
    </rPh>
    <phoneticPr fontId="2"/>
  </si>
  <si>
    <t>前日正午からのトラバースではないので注意してください。</t>
    <rPh sb="0" eb="2">
      <t>ゼンジツ</t>
    </rPh>
    <rPh sb="2" eb="4">
      <t>ショウゴ</t>
    </rPh>
    <rPh sb="18" eb="20">
      <t>チュウイ</t>
    </rPh>
    <phoneticPr fontId="2"/>
  </si>
  <si>
    <t>改正値(手動時)</t>
    <rPh sb="0" eb="3">
      <t>カイセイチ</t>
    </rPh>
    <rPh sb="4" eb="7">
      <t>シュドウジ</t>
    </rPh>
    <phoneticPr fontId="2"/>
  </si>
  <si>
    <t>【ノート】</t>
    <phoneticPr fontId="2"/>
  </si>
  <si>
    <t>このシートは表示用です。導出過程の理解のために活用してください。</t>
    <rPh sb="6" eb="9">
      <t>ヒョウジヨウ</t>
    </rPh>
    <rPh sb="12" eb="14">
      <t>ドウシュツ</t>
    </rPh>
    <rPh sb="14" eb="16">
      <t>カテイ</t>
    </rPh>
    <rPh sb="17" eb="19">
      <t>リカイ</t>
    </rPh>
    <rPh sb="23" eb="25">
      <t>カツヨウ</t>
    </rPh>
    <phoneticPr fontId="2"/>
  </si>
  <si>
    <t>免責事項：</t>
    <rPh sb="0" eb="4">
      <t>メンセキジコウ</t>
    </rPh>
    <phoneticPr fontId="2"/>
  </si>
  <si>
    <t>本エクセルワークブックを使用したことによる損害について、製作者（Very Micro Soft）は一切の責任を負いかねます。</t>
    <rPh sb="0" eb="1">
      <t>ホン</t>
    </rPh>
    <rPh sb="12" eb="14">
      <t>シヨウ</t>
    </rPh>
    <rPh sb="21" eb="23">
      <t>ソンガイ</t>
    </rPh>
    <rPh sb="28" eb="31">
      <t>セイサクシャ</t>
    </rPh>
    <rPh sb="49" eb="51">
      <t>イッサイ</t>
    </rPh>
    <rPh sb="52" eb="54">
      <t>セキニン</t>
    </rPh>
    <rPh sb="55" eb="56">
      <t>オ</t>
    </rPh>
    <phoneticPr fontId="2"/>
  </si>
  <si>
    <t>また、Very Micro Soft(読み:ベリーミクロソフト)と米国 Microsoft社は全くの無関係です。</t>
    <rPh sb="19" eb="20">
      <t>ヨ</t>
    </rPh>
    <rPh sb="33" eb="35">
      <t>ベイコク</t>
    </rPh>
    <rPh sb="45" eb="46">
      <t>シャ</t>
    </rPh>
    <rPh sb="47" eb="48">
      <t>マッタ</t>
    </rPh>
    <rPh sb="50" eb="53">
      <t>ムカンケイ</t>
    </rPh>
    <phoneticPr fontId="2"/>
  </si>
  <si>
    <t>公開リンク</t>
    <rPh sb="0" eb="2">
      <t>コウカイ</t>
    </rPh>
    <phoneticPr fontId="2"/>
  </si>
  <si>
    <t>https://verymicrosoft.com/products/sun-sight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</si>
</sst>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0"/>
    <numFmt numFmtId="178" formatCode="0.00_ "/>
    <numFmt numFmtId="179" formatCode="0.000"/>
    <numFmt numFmtId="180" formatCode="0.0_ "/>
    <numFmt numFmtId="181" formatCode="0_ "/>
    <numFmt numFmtId="182" formatCode="0.0000_ "/>
  </numFmts>
  <fonts count="19" x14ac:knownFonts="1">
    <font>
      <sz val="11"/>
      <color theme="1"/>
      <name val="游ゴシック"/>
      <family val="2"/>
      <charset val="128"/>
      <scheme val="minor"/>
    </font>
    <font>
      <sz val="12"/>
      <color theme="1"/>
      <name val="MS UI Gothic"/>
      <family val="3"/>
      <charset val="128"/>
    </font>
    <font>
      <sz val="6"/>
      <name val="游ゴシック"/>
      <family val="2"/>
      <charset val="128"/>
      <scheme val="minor"/>
    </font>
    <font>
      <sz val="11"/>
      <color theme="1"/>
      <name val="MS UI Gothic"/>
      <family val="3"/>
      <charset val="128"/>
    </font>
    <font>
      <sz val="11"/>
      <color rgb="FFFF0000"/>
      <name val="MS UI Gothic"/>
      <family val="3"/>
      <charset val="128"/>
    </font>
    <font>
      <b/>
      <sz val="22"/>
      <color theme="1"/>
      <name val="MS UI Gothic"/>
      <family val="3"/>
      <charset val="128"/>
    </font>
    <font>
      <vertAlign val="superscript"/>
      <sz val="11"/>
      <color theme="1"/>
      <name val="MS UI Gothic"/>
      <family val="3"/>
      <charset val="128"/>
    </font>
    <font>
      <sz val="11"/>
      <name val="MS UI Gothic"/>
      <family val="3"/>
      <charset val="128"/>
    </font>
    <font>
      <sz val="11"/>
      <color theme="0"/>
      <name val="MS UI Gothic"/>
      <family val="3"/>
      <charset val="128"/>
    </font>
    <font>
      <sz val="8"/>
      <color theme="1"/>
      <name val="MS UI Gothic"/>
      <family val="3"/>
      <charset val="128"/>
    </font>
    <font>
      <vertAlign val="subscript"/>
      <sz val="11"/>
      <color theme="1"/>
      <name val="MS UI Gothic"/>
      <family val="3"/>
      <charset val="128"/>
    </font>
    <font>
      <sz val="10"/>
      <color theme="1"/>
      <name val="MS UI Gothic"/>
      <family val="3"/>
      <charset val="128"/>
    </font>
    <font>
      <sz val="9"/>
      <color theme="1"/>
      <name val="MS UI Gothic"/>
      <family val="3"/>
      <charset val="128"/>
    </font>
    <font>
      <sz val="16"/>
      <color theme="1"/>
      <name val="MS UI Gothic"/>
      <family val="3"/>
      <charset val="128"/>
    </font>
    <font>
      <b/>
      <i/>
      <sz val="20"/>
      <color theme="1"/>
      <name val="游ゴシック"/>
      <family val="3"/>
      <charset val="128"/>
      <scheme val="minor"/>
    </font>
    <font>
      <u/>
      <sz val="11"/>
      <color theme="10"/>
      <name val="游ゴシック"/>
      <family val="2"/>
      <charset val="128"/>
      <scheme val="minor"/>
    </font>
    <font>
      <b/>
      <sz val="11"/>
      <color theme="1"/>
      <name val="游ゴシック"/>
      <family val="3"/>
      <charset val="128"/>
      <scheme val="minor"/>
    </font>
    <font>
      <b/>
      <i/>
      <sz val="11"/>
      <color theme="1"/>
      <name val="游ゴシック"/>
      <family val="3"/>
      <charset val="128"/>
      <scheme val="minor"/>
    </font>
    <font>
      <b/>
      <sz val="11"/>
      <color rgb="FFFF0000"/>
      <name val="游ゴシック"/>
      <family val="3"/>
      <charset val="128"/>
      <scheme val="minor"/>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theme="3" tint="0.89999084444715716"/>
        <bgColor indexed="64"/>
      </patternFill>
    </fill>
  </fills>
  <borders count="13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medium">
        <color indexed="64"/>
      </left>
      <right/>
      <top/>
      <bottom/>
      <diagonal/>
    </border>
    <border>
      <left/>
      <right style="medium">
        <color indexed="64"/>
      </right>
      <top/>
      <bottom/>
      <diagonal/>
    </border>
    <border>
      <left style="thick">
        <color rgb="FFFF0000"/>
      </left>
      <right/>
      <top/>
      <bottom/>
      <diagonal/>
    </border>
    <border>
      <left/>
      <right style="thick">
        <color rgb="FFFF0000"/>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diagonalDown="1">
      <left style="medium">
        <color indexed="64"/>
      </left>
      <right style="medium">
        <color indexed="64"/>
      </right>
      <top style="medium">
        <color indexed="64"/>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DashDot">
        <color auto="1"/>
      </top>
      <bottom/>
      <diagonal/>
    </border>
    <border>
      <left/>
      <right style="mediumDashDot">
        <color auto="1"/>
      </right>
      <top style="mediumDashDot">
        <color auto="1"/>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DashDot">
        <color auto="1"/>
      </right>
      <top/>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DashDot">
        <color auto="1"/>
      </left>
      <right/>
      <top/>
      <bottom style="mediumDashDot">
        <color auto="1"/>
      </bottom>
      <diagonal/>
    </border>
    <border>
      <left/>
      <right/>
      <top/>
      <bottom style="mediumDashDot">
        <color auto="1"/>
      </bottom>
      <diagonal/>
    </border>
    <border>
      <left/>
      <right style="thick">
        <color theme="0"/>
      </right>
      <top/>
      <bottom style="mediumDashDot">
        <color auto="1"/>
      </bottom>
      <diagonal/>
    </border>
    <border>
      <left/>
      <right style="mediumDashDot">
        <color auto="1"/>
      </right>
      <top/>
      <bottom style="mediumDashDot">
        <color auto="1"/>
      </bottom>
      <diagonal/>
    </border>
    <border>
      <left style="dashDotDot">
        <color auto="1"/>
      </left>
      <right/>
      <top style="dashDotDot">
        <color auto="1"/>
      </top>
      <bottom/>
      <diagonal/>
    </border>
    <border>
      <left/>
      <right/>
      <top style="dashDotDot">
        <color auto="1"/>
      </top>
      <bottom/>
      <diagonal/>
    </border>
    <border>
      <left/>
      <right style="dashDotDot">
        <color auto="1"/>
      </right>
      <top style="dashDotDot">
        <color auto="1"/>
      </top>
      <bottom/>
      <diagonal/>
    </border>
    <border>
      <left style="dashDotDot">
        <color auto="1"/>
      </left>
      <right/>
      <top/>
      <bottom/>
      <diagonal/>
    </border>
    <border>
      <left/>
      <right style="dashDotDot">
        <color auto="1"/>
      </right>
      <top/>
      <bottom/>
      <diagonal/>
    </border>
    <border>
      <left/>
      <right/>
      <top/>
      <bottom style="thick">
        <color auto="1"/>
      </bottom>
      <diagonal/>
    </border>
    <border>
      <left style="dashDotDot">
        <color auto="1"/>
      </left>
      <right/>
      <top/>
      <bottom style="medium">
        <color indexed="64"/>
      </bottom>
      <diagonal/>
    </border>
    <border>
      <left/>
      <right style="dashDotDot">
        <color auto="1"/>
      </right>
      <top/>
      <bottom style="medium">
        <color indexed="64"/>
      </bottom>
      <diagonal/>
    </border>
    <border>
      <left style="dashDotDot">
        <color auto="1"/>
      </left>
      <right/>
      <top/>
      <bottom style="dashDotDot">
        <color auto="1"/>
      </bottom>
      <diagonal/>
    </border>
    <border>
      <left/>
      <right/>
      <top/>
      <bottom style="dashDotDot">
        <color auto="1"/>
      </bottom>
      <diagonal/>
    </border>
    <border>
      <left/>
      <right style="dashDotDot">
        <color auto="1"/>
      </right>
      <top/>
      <bottom style="dashDotDot">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top/>
      <bottom style="thin">
        <color indexed="64"/>
      </bottom>
      <diagonal/>
    </border>
    <border>
      <left style="thick">
        <color auto="1"/>
      </left>
      <right/>
      <top style="thick">
        <color auto="1"/>
      </top>
      <bottom/>
      <diagonal/>
    </border>
    <border>
      <left/>
      <right/>
      <top style="thick">
        <color auto="1"/>
      </top>
      <bottom/>
      <diagonal/>
    </border>
    <border>
      <left/>
      <right style="medium">
        <color indexed="64"/>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style="dashed">
        <color theme="0" tint="-0.499984740745262"/>
      </top>
      <bottom/>
      <diagonal/>
    </border>
    <border>
      <left/>
      <right/>
      <top style="dashed">
        <color theme="0" tint="-0.499984740745262"/>
      </top>
      <bottom/>
      <diagonal/>
    </border>
    <border>
      <left/>
      <right style="medium">
        <color auto="1"/>
      </right>
      <top style="dashed">
        <color theme="0" tint="-0.499984740745262"/>
      </top>
      <bottom/>
      <diagonal/>
    </border>
    <border>
      <left style="thick">
        <color indexed="64"/>
      </left>
      <right/>
      <top/>
      <bottom style="dashed">
        <color theme="0" tint="-0.499984740745262"/>
      </bottom>
      <diagonal/>
    </border>
    <border>
      <left/>
      <right/>
      <top/>
      <bottom style="dashed">
        <color theme="0" tint="-0.499984740745262"/>
      </bottom>
      <diagonal/>
    </border>
    <border>
      <left/>
      <right style="medium">
        <color auto="1"/>
      </right>
      <top/>
      <bottom style="dashed">
        <color theme="0" tint="-0.499984740745262"/>
      </bottom>
      <diagonal/>
    </border>
    <border>
      <left style="medium">
        <color indexed="64"/>
      </left>
      <right/>
      <top/>
      <bottom style="mediumDashDot">
        <color indexed="64"/>
      </bottom>
      <diagonal/>
    </border>
    <border>
      <left/>
      <right style="thick">
        <color auto="1"/>
      </right>
      <top/>
      <bottom style="mediumDashDot">
        <color auto="1"/>
      </bottom>
      <diagonal/>
    </border>
    <border>
      <left style="thick">
        <color indexed="64"/>
      </left>
      <right/>
      <top/>
      <bottom style="mediumDashDot">
        <color auto="1"/>
      </bottom>
      <diagonal/>
    </border>
    <border>
      <left/>
      <right style="medium">
        <color auto="1"/>
      </right>
      <top/>
      <bottom style="mediumDashDot">
        <color auto="1"/>
      </bottom>
      <diagonal/>
    </border>
    <border>
      <left/>
      <right style="thick">
        <color auto="1"/>
      </right>
      <top style="mediumDashDot">
        <color auto="1"/>
      </top>
      <bottom/>
      <diagonal/>
    </border>
    <border>
      <left style="thick">
        <color indexed="64"/>
      </left>
      <right/>
      <top/>
      <bottom style="medium">
        <color indexed="64"/>
      </bottom>
      <diagonal/>
    </border>
    <border>
      <left/>
      <right style="thick">
        <color auto="1"/>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auto="1"/>
      </right>
      <top/>
      <bottom style="medium">
        <color indexed="64"/>
      </bottom>
      <diagonal/>
    </border>
    <border>
      <left style="thin">
        <color auto="1"/>
      </left>
      <right/>
      <top/>
      <bottom style="medium">
        <color indexed="64"/>
      </bottom>
      <diagonal/>
    </border>
    <border>
      <left style="thin">
        <color indexed="64"/>
      </left>
      <right style="medium">
        <color indexed="64"/>
      </right>
      <top/>
      <bottom style="medium">
        <color indexed="64"/>
      </bottom>
      <diagonal/>
    </border>
    <border>
      <left style="thin">
        <color auto="1"/>
      </left>
      <right/>
      <top/>
      <bottom style="thin">
        <color auto="1"/>
      </bottom>
      <diagonal/>
    </border>
    <border>
      <left style="thin">
        <color auto="1"/>
      </left>
      <right style="thick">
        <color auto="1"/>
      </right>
      <top/>
      <bottom style="thin">
        <color auto="1"/>
      </bottom>
      <diagonal/>
    </border>
    <border>
      <left style="thin">
        <color auto="1"/>
      </left>
      <right/>
      <top style="thin">
        <color auto="1"/>
      </top>
      <bottom style="thin">
        <color auto="1"/>
      </bottom>
      <diagonal/>
    </border>
    <border>
      <left style="thin">
        <color auto="1"/>
      </left>
      <right style="thick">
        <color auto="1"/>
      </right>
      <top style="thin">
        <color auto="1"/>
      </top>
      <bottom style="thin">
        <color auto="1"/>
      </bottom>
      <diagonal/>
    </border>
    <border>
      <left/>
      <right style="thin">
        <color auto="1"/>
      </right>
      <top style="thin">
        <color auto="1"/>
      </top>
      <bottom style="thick">
        <color auto="1"/>
      </bottom>
      <diagonal/>
    </border>
    <border>
      <left style="thin">
        <color auto="1"/>
      </left>
      <right/>
      <top style="thin">
        <color auto="1"/>
      </top>
      <bottom style="thick">
        <color auto="1"/>
      </bottom>
      <diagonal/>
    </border>
    <border>
      <left style="thin">
        <color auto="1"/>
      </left>
      <right style="thick">
        <color auto="1"/>
      </right>
      <top style="thin">
        <color auto="1"/>
      </top>
      <bottom style="thick">
        <color auto="1"/>
      </bottom>
      <diagonal/>
    </border>
    <border>
      <left style="thin">
        <color indexed="64"/>
      </left>
      <right/>
      <top/>
      <bottom style="mediumDashDot">
        <color auto="1"/>
      </bottom>
      <diagonal/>
    </border>
    <border>
      <left style="mediumDashDot">
        <color auto="1"/>
      </left>
      <right style="thin">
        <color indexed="64"/>
      </right>
      <top style="mediumDashDot">
        <color auto="1"/>
      </top>
      <bottom/>
      <diagonal/>
    </border>
    <border>
      <left style="mediumDashDot">
        <color auto="1"/>
      </left>
      <right style="thin">
        <color indexed="64"/>
      </right>
      <top/>
      <bottom style="thin">
        <color indexed="64"/>
      </bottom>
      <diagonal/>
    </border>
    <border>
      <left/>
      <right style="mediumDashDot">
        <color auto="1"/>
      </right>
      <top/>
      <bottom style="thin">
        <color indexed="64"/>
      </bottom>
      <diagonal/>
    </border>
    <border>
      <left style="thin">
        <color indexed="64"/>
      </left>
      <right style="thick">
        <color theme="0"/>
      </right>
      <top/>
      <bottom style="mediumDashDot">
        <color auto="1"/>
      </bottom>
      <diagonal/>
    </border>
    <border>
      <left/>
      <right style="dashDot">
        <color auto="1"/>
      </right>
      <top/>
      <bottom style="thin">
        <color indexed="64"/>
      </bottom>
      <diagonal/>
    </border>
    <border>
      <left style="thin">
        <color indexed="64"/>
      </left>
      <right/>
      <top style="mediumDashDot">
        <color auto="1"/>
      </top>
      <bottom style="dashDot">
        <color indexed="64"/>
      </bottom>
      <diagonal/>
    </border>
    <border>
      <left/>
      <right/>
      <top style="mediumDashDot">
        <color auto="1"/>
      </top>
      <bottom style="dashDot">
        <color indexed="64"/>
      </bottom>
      <diagonal/>
    </border>
    <border>
      <left/>
      <right style="mediumDashDot">
        <color auto="1"/>
      </right>
      <top style="mediumDashDot">
        <color auto="1"/>
      </top>
      <bottom style="dashDot">
        <color indexed="64"/>
      </bottom>
      <diagonal/>
    </border>
    <border>
      <left/>
      <right/>
      <top style="thin">
        <color indexed="64"/>
      </top>
      <bottom style="dashDot">
        <color auto="1"/>
      </bottom>
      <diagonal/>
    </border>
    <border>
      <left/>
      <right style="mediumDashDot">
        <color auto="1"/>
      </right>
      <top style="thin">
        <color indexed="64"/>
      </top>
      <bottom style="dashDot">
        <color auto="1"/>
      </bottom>
      <diagonal/>
    </border>
    <border>
      <left style="mediumDashDot">
        <color auto="1"/>
      </left>
      <right/>
      <top style="thin">
        <color indexed="64"/>
      </top>
      <bottom style="dotted">
        <color auto="1"/>
      </bottom>
      <diagonal/>
    </border>
    <border>
      <left style="thin">
        <color indexed="64"/>
      </left>
      <right/>
      <top style="thin">
        <color indexed="64"/>
      </top>
      <bottom style="dotted">
        <color auto="1"/>
      </bottom>
      <diagonal/>
    </border>
    <border>
      <left/>
      <right/>
      <top style="thin">
        <color indexed="64"/>
      </top>
      <bottom style="dotted">
        <color auto="1"/>
      </bottom>
      <diagonal/>
    </border>
    <border>
      <left style="thin">
        <color indexed="64"/>
      </left>
      <right style="thick">
        <color theme="0"/>
      </right>
      <top style="thin">
        <color indexed="64"/>
      </top>
      <bottom style="dotted">
        <color auto="1"/>
      </bottom>
      <diagonal/>
    </border>
    <border>
      <left/>
      <right style="mediumDashDot">
        <color auto="1"/>
      </right>
      <top style="thin">
        <color indexed="64"/>
      </top>
      <bottom style="dotted">
        <color auto="1"/>
      </bottom>
      <diagonal/>
    </border>
    <border>
      <left style="medium">
        <color rgb="FFFF0000"/>
      </left>
      <right style="medium">
        <color rgb="FFFF0000"/>
      </right>
      <top style="medium">
        <color rgb="FFFF0000"/>
      </top>
      <bottom style="medium">
        <color rgb="FFFF0000"/>
      </bottom>
      <diagonal/>
    </border>
    <border>
      <left style="mediumDashDot">
        <color auto="1"/>
      </left>
      <right style="thin">
        <color auto="1"/>
      </right>
      <top/>
      <bottom/>
      <diagonal/>
    </border>
    <border>
      <left style="mediumDashDot">
        <color auto="1"/>
      </left>
      <right style="thin">
        <color auto="1"/>
      </right>
      <top/>
      <bottom style="mediumDashDot">
        <color auto="1"/>
      </bottom>
      <diagonal/>
    </border>
    <border>
      <left style="thin">
        <color indexed="64"/>
      </left>
      <right/>
      <top style="dashDot">
        <color indexed="64"/>
      </top>
      <bottom style="thin">
        <color indexed="64"/>
      </bottom>
      <diagonal/>
    </border>
    <border>
      <left/>
      <right/>
      <top style="dashDot">
        <color indexed="64"/>
      </top>
      <bottom style="thin">
        <color indexed="64"/>
      </bottom>
      <diagonal/>
    </border>
    <border>
      <left/>
      <right style="mediumDashDot">
        <color auto="1"/>
      </right>
      <top style="dashDot">
        <color indexed="64"/>
      </top>
      <bottom style="thin">
        <color indexed="64"/>
      </bottom>
      <diagonal/>
    </border>
    <border>
      <left/>
      <right style="dashDot">
        <color indexed="64"/>
      </right>
      <top style="dashDot">
        <color indexed="64"/>
      </top>
      <bottom style="thin">
        <color indexed="64"/>
      </bottom>
      <diagonal/>
    </border>
    <border>
      <left/>
      <right style="dashDot">
        <color indexed="64"/>
      </right>
      <top/>
      <bottom style="mediumDashDot">
        <color auto="1"/>
      </bottom>
      <diagonal/>
    </border>
    <border>
      <left style="mediumDashDot">
        <color auto="1"/>
      </left>
      <right style="thin">
        <color auto="1"/>
      </right>
      <top style="thin">
        <color indexed="64"/>
      </top>
      <bottom style="thin">
        <color auto="1"/>
      </bottom>
      <diagonal/>
    </border>
    <border>
      <left/>
      <right style="dashDot">
        <color indexed="64"/>
      </right>
      <top style="thin">
        <color indexed="64"/>
      </top>
      <bottom style="thin">
        <color auto="1"/>
      </bottom>
      <diagonal/>
    </border>
    <border>
      <left/>
      <right style="mediumDashDot">
        <color auto="1"/>
      </right>
      <top style="thin">
        <color indexed="64"/>
      </top>
      <bottom style="thin">
        <color auto="1"/>
      </bottom>
      <diagonal/>
    </border>
    <border>
      <left style="mediumDashDot">
        <color auto="1"/>
      </left>
      <right style="thin">
        <color auto="1"/>
      </right>
      <top style="thin">
        <color indexed="64"/>
      </top>
      <bottom style="dashDot">
        <color auto="1"/>
      </bottom>
      <diagonal/>
    </border>
    <border>
      <left/>
      <right style="thick">
        <color theme="0"/>
      </right>
      <top style="thin">
        <color indexed="64"/>
      </top>
      <bottom style="dashDot">
        <color auto="1"/>
      </bottom>
      <diagonal/>
    </border>
  </borders>
  <cellStyleXfs count="2">
    <xf numFmtId="0" fontId="0" fillId="0" borderId="0">
      <alignment vertical="center"/>
    </xf>
    <xf numFmtId="0" fontId="15" fillId="0" borderId="0" applyNumberFormat="0" applyFill="0" applyBorder="0" applyAlignment="0" applyProtection="0">
      <alignment vertical="center"/>
    </xf>
  </cellStyleXfs>
  <cellXfs count="314">
    <xf numFmtId="0" fontId="0" fillId="0" borderId="0" xfId="0">
      <alignment vertical="center"/>
    </xf>
    <xf numFmtId="0" fontId="3" fillId="0" borderId="0" xfId="0" applyFont="1">
      <alignment vertical="center"/>
    </xf>
    <xf numFmtId="0" fontId="3" fillId="2" borderId="2" xfId="0" applyFont="1" applyFill="1" applyBorder="1">
      <alignment vertical="center"/>
    </xf>
    <xf numFmtId="176" fontId="3" fillId="2" borderId="2" xfId="0" applyNumberFormat="1" applyFont="1" applyFill="1" applyBorder="1">
      <alignment vertical="center"/>
    </xf>
    <xf numFmtId="49" fontId="3" fillId="2" borderId="2" xfId="0" applyNumberFormat="1" applyFont="1" applyFill="1" applyBorder="1" applyAlignment="1">
      <alignment horizontal="center" vertical="center"/>
    </xf>
    <xf numFmtId="0" fontId="3" fillId="2" borderId="0" xfId="0" applyFont="1" applyFill="1">
      <alignment vertical="center"/>
    </xf>
    <xf numFmtId="0" fontId="3" fillId="0" borderId="11" xfId="0" applyFont="1" applyBorder="1" applyAlignment="1">
      <alignment horizontal="center" vertical="center"/>
    </xf>
    <xf numFmtId="0" fontId="3" fillId="2" borderId="15" xfId="0" applyFont="1" applyFill="1" applyBorder="1">
      <alignment vertical="center"/>
    </xf>
    <xf numFmtId="0" fontId="3" fillId="2" borderId="15" xfId="0" applyFont="1" applyFill="1" applyBorder="1" applyAlignment="1">
      <alignment horizontal="center" vertical="center"/>
    </xf>
    <xf numFmtId="0" fontId="3" fillId="0" borderId="0" xfId="0" applyFont="1" applyAlignment="1">
      <alignment horizontal="center" vertical="center"/>
    </xf>
    <xf numFmtId="177" fontId="3" fillId="2" borderId="0" xfId="0" applyNumberFormat="1" applyFont="1" applyFill="1">
      <alignment vertical="center"/>
    </xf>
    <xf numFmtId="0" fontId="3" fillId="2" borderId="0" xfId="0" quotePrefix="1" applyFont="1" applyFill="1">
      <alignment vertical="center"/>
    </xf>
    <xf numFmtId="0" fontId="3" fillId="2" borderId="22" xfId="0" applyFont="1" applyFill="1" applyBorder="1">
      <alignment vertical="center"/>
    </xf>
    <xf numFmtId="1" fontId="3" fillId="2" borderId="24" xfId="0" applyNumberFormat="1" applyFont="1" applyFill="1" applyBorder="1">
      <alignment vertical="center"/>
    </xf>
    <xf numFmtId="0" fontId="3" fillId="2" borderId="24" xfId="0" applyFont="1" applyFill="1" applyBorder="1">
      <alignment vertical="center"/>
    </xf>
    <xf numFmtId="0" fontId="3" fillId="2" borderId="26" xfId="0" applyFont="1" applyFill="1" applyBorder="1">
      <alignment vertical="center"/>
    </xf>
    <xf numFmtId="177" fontId="3" fillId="2" borderId="24" xfId="0" applyNumberFormat="1" applyFont="1" applyFill="1" applyBorder="1">
      <alignment vertical="center"/>
    </xf>
    <xf numFmtId="0" fontId="3" fillId="2" borderId="29" xfId="0" applyFont="1" applyFill="1" applyBorder="1">
      <alignment vertical="center"/>
    </xf>
    <xf numFmtId="0" fontId="3" fillId="2" borderId="23" xfId="0" applyFont="1" applyFill="1" applyBorder="1">
      <alignment vertical="center"/>
    </xf>
    <xf numFmtId="0" fontId="3" fillId="2" borderId="32" xfId="0" applyFont="1" applyFill="1" applyBorder="1">
      <alignment vertical="center"/>
    </xf>
    <xf numFmtId="0" fontId="3" fillId="2" borderId="33" xfId="0" applyFont="1" applyFill="1" applyBorder="1">
      <alignment vertical="center"/>
    </xf>
    <xf numFmtId="0" fontId="3" fillId="2" borderId="35" xfId="0" applyFont="1" applyFill="1" applyBorder="1">
      <alignment vertical="center"/>
    </xf>
    <xf numFmtId="177" fontId="3" fillId="2" borderId="33" xfId="0" applyNumberFormat="1" applyFont="1" applyFill="1" applyBorder="1">
      <alignment vertical="center"/>
    </xf>
    <xf numFmtId="49" fontId="3" fillId="2" borderId="44" xfId="0" applyNumberFormat="1" applyFont="1" applyFill="1" applyBorder="1" applyAlignment="1">
      <alignment horizontal="center" vertical="center"/>
    </xf>
    <xf numFmtId="0" fontId="3" fillId="2" borderId="45" xfId="0" applyFont="1" applyFill="1" applyBorder="1">
      <alignment vertical="center"/>
    </xf>
    <xf numFmtId="49" fontId="3" fillId="2" borderId="30" xfId="0" applyNumberFormat="1" applyFont="1" applyFill="1" applyBorder="1" applyAlignment="1">
      <alignment horizontal="center" vertical="center"/>
    </xf>
    <xf numFmtId="0" fontId="3" fillId="2" borderId="47" xfId="0" applyFont="1" applyFill="1" applyBorder="1">
      <alignment vertical="center"/>
    </xf>
    <xf numFmtId="0" fontId="3" fillId="2" borderId="51" xfId="0" applyFont="1" applyFill="1" applyBorder="1">
      <alignment vertical="center"/>
    </xf>
    <xf numFmtId="177" fontId="3" fillId="2" borderId="51" xfId="0" applyNumberFormat="1" applyFont="1" applyFill="1" applyBorder="1">
      <alignment vertical="center"/>
    </xf>
    <xf numFmtId="0" fontId="3" fillId="2" borderId="52" xfId="0" applyFont="1" applyFill="1" applyBorder="1" applyAlignment="1">
      <alignment horizontal="center" vertical="center"/>
    </xf>
    <xf numFmtId="177" fontId="3" fillId="2" borderId="59" xfId="0" applyNumberFormat="1" applyFont="1" applyFill="1" applyBorder="1">
      <alignment vertical="center"/>
    </xf>
    <xf numFmtId="49" fontId="3" fillId="2" borderId="34" xfId="0" applyNumberFormat="1" applyFont="1" applyFill="1" applyBorder="1" applyAlignment="1">
      <alignment horizontal="center" vertical="center"/>
    </xf>
    <xf numFmtId="0" fontId="3" fillId="2" borderId="49" xfId="0" applyFont="1" applyFill="1" applyBorder="1">
      <alignment vertical="center"/>
    </xf>
    <xf numFmtId="1" fontId="3" fillId="2" borderId="0" xfId="0" applyNumberFormat="1" applyFont="1" applyFill="1">
      <alignment vertical="center"/>
    </xf>
    <xf numFmtId="49" fontId="3" fillId="2" borderId="51" xfId="0" applyNumberFormat="1" applyFont="1" applyFill="1" applyBorder="1">
      <alignment vertical="center"/>
    </xf>
    <xf numFmtId="49" fontId="3" fillId="2" borderId="53" xfId="0" applyNumberFormat="1" applyFont="1" applyFill="1" applyBorder="1">
      <alignment vertical="center"/>
    </xf>
    <xf numFmtId="0" fontId="3" fillId="2" borderId="0" xfId="0" applyFont="1" applyFill="1">
      <alignment vertical="center"/>
      <extLst>
        <ext xmlns:xfpb="http://schemas.microsoft.com/office/spreadsheetml/2022/featurepropertybag" uri="{C7286773-470A-42A8-94C5-96B5CB345126}">
          <xfpb:xfComplement i="0"/>
        </ext>
      </extLst>
    </xf>
    <xf numFmtId="177" fontId="3" fillId="2" borderId="76" xfId="0" applyNumberFormat="1" applyFont="1" applyFill="1" applyBorder="1">
      <alignment vertical="center"/>
    </xf>
    <xf numFmtId="177" fontId="3" fillId="0" borderId="0" xfId="0" applyNumberFormat="1" applyFont="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10" xfId="0" applyFont="1" applyBorder="1" applyAlignment="1">
      <alignment horizontal="center" vertical="center"/>
    </xf>
    <xf numFmtId="177" fontId="3" fillId="0" borderId="10" xfId="0" applyNumberFormat="1" applyFont="1" applyBorder="1" applyAlignment="1">
      <alignment horizontal="center" vertical="center"/>
    </xf>
    <xf numFmtId="177" fontId="3" fillId="0" borderId="11" xfId="0" applyNumberFormat="1" applyFont="1" applyBorder="1" applyAlignment="1">
      <alignment horizontal="center" vertical="center"/>
    </xf>
    <xf numFmtId="177" fontId="3" fillId="0" borderId="14" xfId="0" applyNumberFormat="1" applyFont="1" applyBorder="1" applyAlignment="1">
      <alignment horizontal="center" vertical="center"/>
    </xf>
    <xf numFmtId="177" fontId="3" fillId="0" borderId="15" xfId="0" applyNumberFormat="1" applyFont="1" applyBorder="1" applyAlignment="1">
      <alignment horizontal="center" vertical="center"/>
    </xf>
    <xf numFmtId="177" fontId="3" fillId="0" borderId="16" xfId="0" applyNumberFormat="1" applyFont="1" applyBorder="1" applyAlignment="1">
      <alignment horizontal="center" vertical="center"/>
    </xf>
    <xf numFmtId="0" fontId="3" fillId="0" borderId="39" xfId="0" applyFont="1" applyBorder="1" applyAlignment="1">
      <alignment horizontal="center" vertical="center" wrapText="1"/>
    </xf>
    <xf numFmtId="0" fontId="3" fillId="0" borderId="99" xfId="0" applyFont="1" applyBorder="1" applyAlignment="1">
      <alignment horizontal="center" vertical="center" wrapText="1"/>
    </xf>
    <xf numFmtId="0" fontId="3" fillId="0" borderId="100" xfId="0" applyFont="1" applyBorder="1" applyAlignment="1">
      <alignment horizontal="center" vertical="center" wrapText="1"/>
    </xf>
    <xf numFmtId="0" fontId="3" fillId="0" borderId="101" xfId="0" applyFont="1" applyBorder="1" applyAlignment="1">
      <alignment horizontal="center" vertical="center" wrapText="1"/>
    </xf>
    <xf numFmtId="2" fontId="3" fillId="0" borderId="43" xfId="0" applyNumberFormat="1" applyFont="1" applyBorder="1">
      <alignment vertical="center"/>
    </xf>
    <xf numFmtId="0" fontId="3" fillId="0" borderId="44" xfId="0" applyFont="1" applyBorder="1">
      <alignment vertical="center"/>
    </xf>
    <xf numFmtId="177" fontId="3" fillId="0" borderId="102" xfId="0" applyNumberFormat="1" applyFont="1" applyBorder="1">
      <alignment vertical="center"/>
    </xf>
    <xf numFmtId="0" fontId="3" fillId="0" borderId="103" xfId="0" applyFont="1" applyBorder="1">
      <alignment vertical="center"/>
    </xf>
    <xf numFmtId="2" fontId="3" fillId="0" borderId="28" xfId="0" applyNumberFormat="1" applyFont="1" applyBorder="1">
      <alignment vertical="center"/>
    </xf>
    <xf numFmtId="177" fontId="3" fillId="0" borderId="30" xfId="0" applyNumberFormat="1" applyFont="1" applyBorder="1">
      <alignment vertical="center"/>
    </xf>
    <xf numFmtId="177" fontId="3" fillId="0" borderId="104" xfId="0" applyNumberFormat="1" applyFont="1" applyBorder="1">
      <alignment vertical="center"/>
    </xf>
    <xf numFmtId="177" fontId="3" fillId="0" borderId="105" xfId="0" applyNumberFormat="1" applyFont="1" applyBorder="1">
      <alignment vertical="center"/>
    </xf>
    <xf numFmtId="20" fontId="3" fillId="0" borderId="0" xfId="0" applyNumberFormat="1" applyFont="1">
      <alignment vertical="center"/>
    </xf>
    <xf numFmtId="2" fontId="3" fillId="0" borderId="31" xfId="0" applyNumberFormat="1" applyFont="1" applyBorder="1">
      <alignment vertical="center"/>
    </xf>
    <xf numFmtId="177" fontId="3" fillId="0" borderId="106" xfId="0" applyNumberFormat="1" applyFont="1" applyBorder="1">
      <alignment vertical="center"/>
    </xf>
    <xf numFmtId="177" fontId="3" fillId="0" borderId="107" xfId="0" applyNumberFormat="1" applyFont="1" applyBorder="1">
      <alignment vertical="center"/>
    </xf>
    <xf numFmtId="177" fontId="3" fillId="0" borderId="108" xfId="0" applyNumberFormat="1" applyFont="1" applyBorder="1">
      <alignment vertical="center"/>
    </xf>
    <xf numFmtId="0" fontId="3" fillId="0" borderId="96" xfId="0" applyFont="1" applyBorder="1" applyAlignment="1">
      <alignment horizontal="center" vertical="center"/>
    </xf>
    <xf numFmtId="0" fontId="3" fillId="0" borderId="97" xfId="0" applyFont="1" applyBorder="1" applyAlignment="1">
      <alignment horizontal="center" vertical="center"/>
    </xf>
    <xf numFmtId="0" fontId="3" fillId="0" borderId="98" xfId="0" applyFont="1" applyBorder="1" applyAlignment="1">
      <alignment horizontal="center" vertical="center"/>
    </xf>
    <xf numFmtId="0" fontId="3" fillId="0" borderId="4" xfId="0" applyFont="1" applyBorder="1" applyAlignment="1">
      <alignment horizontal="center" vertical="center"/>
    </xf>
    <xf numFmtId="0" fontId="3" fillId="0" borderId="10" xfId="0" applyFont="1" applyBorder="1" applyAlignment="1">
      <alignment horizontal="center" vertical="center"/>
    </xf>
    <xf numFmtId="0" fontId="3" fillId="2" borderId="0" xfId="0" applyFont="1" applyFill="1" applyBorder="1">
      <alignment vertical="center"/>
    </xf>
    <xf numFmtId="0" fontId="3" fillId="2" borderId="0" xfId="0" applyFont="1" applyFill="1" applyBorder="1" applyAlignment="1">
      <alignment horizontal="center" vertical="center"/>
    </xf>
    <xf numFmtId="0" fontId="13" fillId="3" borderId="0" xfId="0" applyFont="1" applyFill="1" applyAlignment="1">
      <alignment horizontal="center" vertical="center"/>
    </xf>
    <xf numFmtId="0" fontId="1" fillId="3" borderId="0" xfId="0" applyFont="1" applyFill="1" applyAlignment="1">
      <alignment horizontal="center" vertical="center"/>
    </xf>
    <xf numFmtId="0" fontId="1" fillId="3" borderId="0" xfId="0" applyFont="1" applyFill="1" applyAlignment="1">
      <alignment horizontal="right" vertical="center"/>
    </xf>
    <xf numFmtId="0" fontId="3" fillId="3" borderId="2" xfId="0" applyFont="1" applyFill="1" applyBorder="1">
      <alignment vertical="center"/>
    </xf>
    <xf numFmtId="0" fontId="3" fillId="3" borderId="3" xfId="0" applyFont="1" applyFill="1" applyBorder="1">
      <alignment vertical="center"/>
    </xf>
    <xf numFmtId="0" fontId="3" fillId="3" borderId="0" xfId="0" applyFont="1" applyFill="1">
      <alignment vertical="center"/>
    </xf>
    <xf numFmtId="0" fontId="3" fillId="3" borderId="5" xfId="0" applyFont="1" applyFill="1" applyBorder="1">
      <alignment vertical="center"/>
    </xf>
    <xf numFmtId="0" fontId="3" fillId="3" borderId="6" xfId="0" applyFont="1" applyFill="1" applyBorder="1">
      <alignment vertical="center"/>
    </xf>
    <xf numFmtId="0" fontId="4" fillId="3" borderId="7"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9" xfId="0" applyFont="1" applyFill="1" applyBorder="1" applyAlignment="1">
      <alignment horizontal="center" vertical="center"/>
    </xf>
    <xf numFmtId="0" fontId="3" fillId="3" borderId="0" xfId="0" applyFont="1" applyFill="1" applyBorder="1">
      <alignment vertical="center"/>
    </xf>
    <xf numFmtId="177" fontId="3" fillId="3" borderId="0" xfId="0" applyNumberFormat="1" applyFont="1" applyFill="1" applyBorder="1">
      <alignment vertical="center"/>
    </xf>
    <xf numFmtId="0" fontId="3" fillId="3" borderId="11" xfId="0" applyFont="1" applyFill="1" applyBorder="1" applyAlignment="1">
      <alignment horizontal="center" vertical="center"/>
    </xf>
    <xf numFmtId="0" fontId="3" fillId="3" borderId="12" xfId="0" applyFont="1" applyFill="1" applyBorder="1" applyAlignment="1">
      <alignment horizontal="center" vertical="center"/>
    </xf>
    <xf numFmtId="177" fontId="3" fillId="3" borderId="13" xfId="0" applyNumberFormat="1" applyFont="1" applyFill="1" applyBorder="1" applyAlignment="1">
      <alignment horizontal="center" vertical="center"/>
    </xf>
    <xf numFmtId="0" fontId="3" fillId="3" borderId="15" xfId="0" applyFont="1" applyFill="1" applyBorder="1">
      <alignment vertical="center"/>
    </xf>
    <xf numFmtId="177" fontId="3" fillId="3" borderId="15" xfId="0" applyNumberFormat="1" applyFont="1" applyFill="1" applyBorder="1">
      <alignment vertical="center"/>
    </xf>
    <xf numFmtId="0" fontId="3" fillId="3" borderId="16" xfId="0" applyFont="1" applyFill="1" applyBorder="1" applyAlignment="1">
      <alignment horizontal="center" vertical="center"/>
    </xf>
    <xf numFmtId="0" fontId="3" fillId="3" borderId="17" xfId="0" applyFont="1" applyFill="1" applyBorder="1" applyAlignment="1">
      <alignment horizontal="center" vertical="center"/>
    </xf>
    <xf numFmtId="0" fontId="3" fillId="3" borderId="18" xfId="0" applyFont="1" applyFill="1" applyBorder="1">
      <alignment vertical="center"/>
    </xf>
    <xf numFmtId="177" fontId="3" fillId="3" borderId="19" xfId="0" applyNumberFormat="1" applyFont="1" applyFill="1" applyBorder="1" applyAlignment="1">
      <alignment horizontal="center" vertical="center"/>
    </xf>
    <xf numFmtId="2" fontId="3" fillId="3" borderId="0" xfId="0" applyNumberFormat="1" applyFont="1" applyFill="1">
      <alignment vertical="center"/>
    </xf>
    <xf numFmtId="0" fontId="5" fillId="3" borderId="0" xfId="0" applyFont="1" applyFill="1" applyBorder="1" applyAlignment="1">
      <alignment horizontal="center" vertical="center"/>
    </xf>
    <xf numFmtId="0" fontId="3" fillId="3" borderId="15" xfId="0" applyFont="1" applyFill="1" applyBorder="1" applyAlignment="1">
      <alignment horizontal="center" vertical="center"/>
    </xf>
    <xf numFmtId="0" fontId="3" fillId="3" borderId="0" xfId="0" quotePrefix="1" applyFont="1" applyFill="1" applyBorder="1">
      <alignment vertical="center"/>
    </xf>
    <xf numFmtId="0" fontId="3" fillId="3" borderId="4" xfId="0" applyFont="1" applyFill="1" applyBorder="1" applyAlignment="1">
      <alignment horizontal="left" vertical="center"/>
    </xf>
    <xf numFmtId="0" fontId="3" fillId="3" borderId="5" xfId="0" applyFont="1" applyFill="1" applyBorder="1" applyAlignment="1">
      <alignment horizontal="left" vertical="center"/>
    </xf>
    <xf numFmtId="0" fontId="3" fillId="3" borderId="10" xfId="0" applyFont="1" applyFill="1" applyBorder="1">
      <alignment vertical="center"/>
    </xf>
    <xf numFmtId="0" fontId="3" fillId="3" borderId="14" xfId="0" applyFont="1" applyFill="1" applyBorder="1">
      <alignment vertical="center"/>
    </xf>
    <xf numFmtId="0" fontId="0" fillId="3" borderId="0" xfId="0" applyFill="1">
      <alignment vertical="center"/>
    </xf>
    <xf numFmtId="0" fontId="3" fillId="3" borderId="39" xfId="0" applyFont="1" applyFill="1" applyBorder="1" applyAlignment="1">
      <alignment horizontal="center" vertical="center"/>
    </xf>
    <xf numFmtId="0" fontId="3" fillId="3" borderId="43" xfId="0" applyFont="1" applyFill="1" applyBorder="1" applyAlignment="1">
      <alignment horizontal="center" vertical="center"/>
    </xf>
    <xf numFmtId="0" fontId="3" fillId="3" borderId="28" xfId="0" applyFont="1" applyFill="1" applyBorder="1" applyAlignment="1">
      <alignment horizontal="center" vertical="center"/>
    </xf>
    <xf numFmtId="0" fontId="3" fillId="3" borderId="31"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0" xfId="0" applyFont="1" applyFill="1" applyAlignment="1">
      <alignment horizontal="center" vertical="center"/>
    </xf>
    <xf numFmtId="177" fontId="3" fillId="3" borderId="0" xfId="0" applyNumberFormat="1" applyFont="1" applyFill="1">
      <alignment vertical="center"/>
    </xf>
    <xf numFmtId="0" fontId="3" fillId="3" borderId="40" xfId="0" applyFont="1" applyFill="1" applyBorder="1">
      <alignment vertical="center"/>
    </xf>
    <xf numFmtId="178" fontId="3" fillId="3" borderId="41" xfId="0" applyNumberFormat="1" applyFont="1" applyFill="1" applyBorder="1" applyAlignment="1">
      <alignment horizontal="center" vertical="center"/>
    </xf>
    <xf numFmtId="0" fontId="3" fillId="3" borderId="46" xfId="0" applyFont="1" applyFill="1" applyBorder="1">
      <alignment vertical="center"/>
    </xf>
    <xf numFmtId="2" fontId="3" fillId="3" borderId="47" xfId="0" applyNumberFormat="1" applyFont="1" applyFill="1" applyBorder="1" applyAlignment="1">
      <alignment horizontal="center" vertical="center"/>
    </xf>
    <xf numFmtId="0" fontId="3" fillId="3" borderId="48" xfId="0" applyFont="1" applyFill="1" applyBorder="1">
      <alignment vertical="center"/>
    </xf>
    <xf numFmtId="2" fontId="3" fillId="3" borderId="49" xfId="0" applyNumberFormat="1" applyFont="1" applyFill="1" applyBorder="1" applyAlignment="1">
      <alignment horizontal="center" vertical="center"/>
    </xf>
    <xf numFmtId="0" fontId="3" fillId="3" borderId="59" xfId="0" applyFont="1" applyFill="1" applyBorder="1" applyAlignment="1">
      <alignment horizontal="center" vertical="center"/>
    </xf>
    <xf numFmtId="0" fontId="3" fillId="3" borderId="59" xfId="0" applyFont="1" applyFill="1" applyBorder="1">
      <alignment vertical="center"/>
    </xf>
    <xf numFmtId="0" fontId="3" fillId="2" borderId="59" xfId="0" applyFont="1" applyFill="1" applyBorder="1">
      <alignment vertical="center"/>
      <extLst>
        <ext xmlns:xfpb="http://schemas.microsoft.com/office/spreadsheetml/2022/featurepropertybag" uri="{C7286773-470A-42A8-94C5-96B5CB345126}">
          <xfpb:xfComplement i="0"/>
        </ext>
      </extLst>
    </xf>
    <xf numFmtId="0" fontId="6" fillId="3" borderId="0" xfId="0" applyFont="1" applyFill="1">
      <alignment vertical="center"/>
    </xf>
    <xf numFmtId="1" fontId="3" fillId="3" borderId="0" xfId="0" applyNumberFormat="1" applyFont="1" applyFill="1">
      <alignment vertical="center"/>
    </xf>
    <xf numFmtId="177" fontId="3" fillId="3" borderId="59" xfId="0" applyNumberFormat="1" applyFont="1" applyFill="1" applyBorder="1">
      <alignment vertical="center"/>
    </xf>
    <xf numFmtId="177" fontId="3" fillId="3" borderId="59" xfId="0" quotePrefix="1" applyNumberFormat="1" applyFont="1" applyFill="1" applyBorder="1">
      <alignment vertical="center"/>
    </xf>
    <xf numFmtId="0" fontId="3" fillId="3" borderId="37" xfId="0" applyFont="1" applyFill="1" applyBorder="1" applyAlignment="1">
      <alignment horizontal="center" vertical="center"/>
    </xf>
    <xf numFmtId="0" fontId="3" fillId="3" borderId="38" xfId="0" applyFont="1" applyFill="1" applyBorder="1" applyAlignment="1">
      <alignment horizontal="center" vertical="center"/>
    </xf>
    <xf numFmtId="0" fontId="3" fillId="3" borderId="0" xfId="0" applyFont="1" applyFill="1" applyAlignment="1">
      <alignment horizontal="center" vertical="center"/>
    </xf>
    <xf numFmtId="0" fontId="3" fillId="3" borderId="42" xfId="0" applyFont="1" applyFill="1" applyBorder="1" applyAlignment="1">
      <alignment horizontal="center" vertical="center"/>
    </xf>
    <xf numFmtId="0" fontId="3" fillId="3" borderId="20" xfId="0" applyFont="1" applyFill="1" applyBorder="1">
      <alignment vertical="center"/>
    </xf>
    <xf numFmtId="0" fontId="3" fillId="3" borderId="1" xfId="0" applyFont="1" applyFill="1" applyBorder="1">
      <alignment vertical="center"/>
    </xf>
    <xf numFmtId="49" fontId="3" fillId="3" borderId="2" xfId="0" applyNumberFormat="1" applyFont="1" applyFill="1" applyBorder="1" applyAlignment="1">
      <alignment horizontal="center" vertical="center"/>
    </xf>
    <xf numFmtId="0" fontId="3" fillId="3" borderId="15" xfId="0" applyFont="1" applyFill="1" applyBorder="1" applyAlignment="1">
      <alignment horizontal="center" vertical="center"/>
    </xf>
    <xf numFmtId="0" fontId="3" fillId="3" borderId="0" xfId="0" quotePrefix="1" applyFont="1" applyFill="1">
      <alignment vertical="center"/>
    </xf>
    <xf numFmtId="0" fontId="3" fillId="3" borderId="21" xfId="0" applyFont="1" applyFill="1" applyBorder="1" applyAlignment="1">
      <alignment horizontal="center" vertical="center"/>
    </xf>
    <xf numFmtId="0" fontId="6" fillId="3" borderId="23" xfId="0" applyFont="1" applyFill="1" applyBorder="1">
      <alignment vertical="center"/>
    </xf>
    <xf numFmtId="0" fontId="6" fillId="3" borderId="24" xfId="0" applyFont="1" applyFill="1" applyBorder="1">
      <alignment vertical="center"/>
    </xf>
    <xf numFmtId="0" fontId="3" fillId="3" borderId="24" xfId="0" applyFont="1" applyFill="1" applyBorder="1">
      <alignment vertical="center"/>
    </xf>
    <xf numFmtId="0" fontId="6" fillId="3" borderId="25" xfId="0" applyFont="1" applyFill="1" applyBorder="1">
      <alignment vertical="center"/>
    </xf>
    <xf numFmtId="0" fontId="3" fillId="3" borderId="27" xfId="0" applyFont="1" applyFill="1" applyBorder="1">
      <alignment vertical="center"/>
    </xf>
    <xf numFmtId="0" fontId="6" fillId="3" borderId="30" xfId="0" applyFont="1" applyFill="1" applyBorder="1">
      <alignment vertical="center"/>
    </xf>
    <xf numFmtId="0" fontId="3" fillId="3" borderId="11" xfId="0" applyFont="1" applyFill="1" applyBorder="1">
      <alignment vertical="center"/>
    </xf>
    <xf numFmtId="0" fontId="6" fillId="3" borderId="33" xfId="0" applyFont="1" applyFill="1" applyBorder="1">
      <alignment vertical="center"/>
    </xf>
    <xf numFmtId="0" fontId="3" fillId="3" borderId="33" xfId="0" applyFont="1" applyFill="1" applyBorder="1">
      <alignment vertical="center"/>
    </xf>
    <xf numFmtId="0" fontId="6" fillId="3" borderId="34" xfId="0" applyFont="1" applyFill="1" applyBorder="1">
      <alignment vertical="center"/>
    </xf>
    <xf numFmtId="0" fontId="3" fillId="3" borderId="36" xfId="0" applyFont="1" applyFill="1" applyBorder="1">
      <alignment vertical="center"/>
    </xf>
    <xf numFmtId="0" fontId="8" fillId="3" borderId="0" xfId="0" applyFont="1" applyFill="1">
      <alignment vertical="center"/>
    </xf>
    <xf numFmtId="0" fontId="3" fillId="3" borderId="50" xfId="0" applyFont="1" applyFill="1" applyBorder="1" applyAlignment="1">
      <alignment horizontal="center" vertical="center"/>
    </xf>
    <xf numFmtId="0" fontId="3" fillId="3" borderId="51" xfId="0" applyFont="1" applyFill="1" applyBorder="1">
      <alignment vertical="center"/>
    </xf>
    <xf numFmtId="177" fontId="3" fillId="3" borderId="51" xfId="0" applyNumberFormat="1" applyFont="1" applyFill="1" applyBorder="1">
      <alignment vertical="center"/>
    </xf>
    <xf numFmtId="0" fontId="3" fillId="3" borderId="53" xfId="0" applyFont="1" applyFill="1" applyBorder="1" applyAlignment="1">
      <alignment horizontal="left" vertical="center"/>
    </xf>
    <xf numFmtId="0" fontId="9" fillId="3" borderId="0" xfId="0" applyFont="1" applyFill="1" applyAlignment="1">
      <alignment horizontal="center" vertical="center"/>
    </xf>
    <xf numFmtId="0" fontId="3" fillId="3" borderId="54" xfId="0" applyFont="1" applyFill="1" applyBorder="1" applyAlignment="1">
      <alignment horizontal="center" vertical="center"/>
    </xf>
    <xf numFmtId="0" fontId="3" fillId="3" borderId="55" xfId="0" applyFont="1" applyFill="1" applyBorder="1" applyAlignment="1">
      <alignment horizontal="center" vertical="center"/>
    </xf>
    <xf numFmtId="0" fontId="3" fillId="3" borderId="55" xfId="0" applyFont="1" applyFill="1" applyBorder="1">
      <alignment vertical="center"/>
    </xf>
    <xf numFmtId="0" fontId="3" fillId="3" borderId="56" xfId="0" applyFont="1" applyFill="1" applyBorder="1" applyAlignment="1">
      <alignment horizontal="center" vertical="center"/>
    </xf>
    <xf numFmtId="0" fontId="3" fillId="3" borderId="57" xfId="0" applyFont="1" applyFill="1" applyBorder="1" applyAlignment="1">
      <alignment horizontal="center" vertical="center"/>
    </xf>
    <xf numFmtId="0" fontId="3" fillId="3" borderId="58" xfId="0" applyFont="1" applyFill="1" applyBorder="1">
      <alignment vertical="center"/>
    </xf>
    <xf numFmtId="0" fontId="3" fillId="3" borderId="0" xfId="0" applyFont="1" applyFill="1" applyAlignment="1">
      <alignment horizontal="right" vertical="center"/>
    </xf>
    <xf numFmtId="0" fontId="3" fillId="3" borderId="58" xfId="0" applyFont="1" applyFill="1" applyBorder="1" applyAlignment="1">
      <alignment horizontal="right" vertical="center"/>
    </xf>
    <xf numFmtId="0" fontId="3" fillId="3" borderId="57" xfId="0" applyFont="1" applyFill="1" applyBorder="1">
      <alignment vertical="center"/>
    </xf>
    <xf numFmtId="177" fontId="3" fillId="3" borderId="58" xfId="0" applyNumberFormat="1" applyFont="1" applyFill="1" applyBorder="1">
      <alignment vertical="center"/>
    </xf>
    <xf numFmtId="179" fontId="3" fillId="3" borderId="0" xfId="0" applyNumberFormat="1" applyFont="1" applyFill="1">
      <alignment vertical="center"/>
    </xf>
    <xf numFmtId="179" fontId="3" fillId="3" borderId="58" xfId="0" applyNumberFormat="1" applyFont="1" applyFill="1" applyBorder="1">
      <alignment vertical="center"/>
    </xf>
    <xf numFmtId="0" fontId="9" fillId="3" borderId="0" xfId="0" applyFont="1" applyFill="1" applyAlignment="1">
      <alignment horizontal="center" vertical="center"/>
    </xf>
    <xf numFmtId="0" fontId="3" fillId="3" borderId="60" xfId="0" applyFont="1" applyFill="1" applyBorder="1" applyAlignment="1">
      <alignment horizontal="center" vertical="center"/>
    </xf>
    <xf numFmtId="179" fontId="3" fillId="3" borderId="15" xfId="0" applyNumberFormat="1" applyFont="1" applyFill="1" applyBorder="1">
      <alignment vertical="center"/>
    </xf>
    <xf numFmtId="179" fontId="3" fillId="3" borderId="61" xfId="0" applyNumberFormat="1" applyFont="1" applyFill="1" applyBorder="1">
      <alignment vertical="center"/>
    </xf>
    <xf numFmtId="0" fontId="3" fillId="3" borderId="62" xfId="0" applyFont="1" applyFill="1" applyBorder="1" applyAlignment="1">
      <alignment horizontal="center" vertical="center"/>
    </xf>
    <xf numFmtId="177" fontId="3" fillId="3" borderId="63" xfId="0" applyNumberFormat="1" applyFont="1" applyFill="1" applyBorder="1">
      <alignment vertical="center"/>
    </xf>
    <xf numFmtId="0" fontId="3" fillId="3" borderId="63" xfId="0" applyFont="1" applyFill="1" applyBorder="1" applyAlignment="1">
      <alignment horizontal="center" vertical="center"/>
    </xf>
    <xf numFmtId="180" fontId="3" fillId="3" borderId="64" xfId="0" applyNumberFormat="1" applyFont="1" applyFill="1" applyBorder="1">
      <alignment vertical="center"/>
    </xf>
    <xf numFmtId="0" fontId="7" fillId="2" borderId="0" xfId="0" applyFont="1" applyFill="1">
      <alignment vertical="center"/>
      <extLst>
        <ext xmlns:xfpb="http://schemas.microsoft.com/office/spreadsheetml/2022/featurepropertybag" uri="{C7286773-470A-42A8-94C5-96B5CB345126}">
          <xfpb:xfComplement i="0"/>
        </ext>
      </extLst>
    </xf>
    <xf numFmtId="0" fontId="3" fillId="3" borderId="0" xfId="0" applyFont="1" applyFill="1" applyBorder="1" applyAlignment="1">
      <alignment horizontal="center" vertical="center"/>
    </xf>
    <xf numFmtId="0" fontId="3" fillId="2" borderId="109" xfId="0" applyFont="1" applyFill="1" applyBorder="1">
      <alignment vertical="center"/>
    </xf>
    <xf numFmtId="0" fontId="3" fillId="3" borderId="110" xfId="0" applyFont="1" applyFill="1" applyBorder="1" applyAlignment="1">
      <alignment horizontal="center" vertical="center"/>
    </xf>
    <xf numFmtId="0" fontId="3" fillId="3" borderId="111" xfId="0" applyFont="1" applyFill="1" applyBorder="1" applyAlignment="1">
      <alignment horizontal="center" vertical="center"/>
    </xf>
    <xf numFmtId="0" fontId="3" fillId="3" borderId="102" xfId="0" applyFont="1" applyFill="1" applyBorder="1" applyAlignment="1">
      <alignment horizontal="center" vertical="center"/>
    </xf>
    <xf numFmtId="0" fontId="3" fillId="3" borderId="76" xfId="0" applyFont="1" applyFill="1" applyBorder="1" applyAlignment="1">
      <alignment horizontal="center" vertical="center"/>
    </xf>
    <xf numFmtId="0" fontId="3" fillId="3" borderId="112" xfId="0" applyFont="1" applyFill="1" applyBorder="1" applyAlignment="1">
      <alignment horizontal="center" vertical="center"/>
    </xf>
    <xf numFmtId="0" fontId="3" fillId="2" borderId="113" xfId="0" applyFont="1" applyFill="1" applyBorder="1" applyAlignment="1">
      <alignment horizontal="center" vertical="center"/>
    </xf>
    <xf numFmtId="0" fontId="3" fillId="3" borderId="114" xfId="0" applyFont="1" applyFill="1" applyBorder="1" applyAlignment="1">
      <alignment horizontal="center" vertical="center"/>
    </xf>
    <xf numFmtId="0" fontId="3" fillId="3" borderId="115" xfId="0" applyFont="1" applyFill="1" applyBorder="1" applyAlignment="1">
      <alignment horizontal="center" vertical="center"/>
    </xf>
    <xf numFmtId="0" fontId="3" fillId="3" borderId="116" xfId="0" applyFont="1" applyFill="1" applyBorder="1" applyAlignment="1">
      <alignment horizontal="center" vertical="center"/>
    </xf>
    <xf numFmtId="0" fontId="3" fillId="3" borderId="117" xfId="0" applyFont="1" applyFill="1" applyBorder="1" applyAlignment="1">
      <alignment horizontal="center" vertical="center"/>
    </xf>
    <xf numFmtId="0" fontId="3" fillId="3" borderId="118" xfId="0" applyFont="1" applyFill="1" applyBorder="1">
      <alignment vertical="center"/>
    </xf>
    <xf numFmtId="177" fontId="3" fillId="2" borderId="118" xfId="0" applyNumberFormat="1" applyFont="1" applyFill="1" applyBorder="1">
      <alignment vertical="center"/>
    </xf>
    <xf numFmtId="0" fontId="3" fillId="2" borderId="118" xfId="0" applyFont="1" applyFill="1" applyBorder="1">
      <alignment vertical="center"/>
    </xf>
    <xf numFmtId="0" fontId="3" fillId="3" borderId="119" xfId="0" applyFont="1" applyFill="1" applyBorder="1">
      <alignment vertical="center"/>
    </xf>
    <xf numFmtId="0" fontId="3" fillId="3" borderId="120" xfId="0" applyFont="1" applyFill="1" applyBorder="1" applyAlignment="1">
      <alignment horizontal="center" vertical="center"/>
    </xf>
    <xf numFmtId="0" fontId="3" fillId="2" borderId="121" xfId="0" applyFont="1" applyFill="1" applyBorder="1">
      <alignment vertical="center"/>
    </xf>
    <xf numFmtId="0" fontId="3" fillId="3" borderId="122" xfId="0" applyFont="1" applyFill="1" applyBorder="1">
      <alignment vertical="center"/>
    </xf>
    <xf numFmtId="177" fontId="3" fillId="2" borderId="122" xfId="0" applyNumberFormat="1" applyFont="1" applyFill="1" applyBorder="1">
      <alignment vertical="center"/>
    </xf>
    <xf numFmtId="0" fontId="3" fillId="2" borderId="123" xfId="0" applyFont="1" applyFill="1" applyBorder="1" applyAlignment="1">
      <alignment horizontal="center" vertical="center"/>
    </xf>
    <xf numFmtId="0" fontId="3" fillId="2" borderId="122" xfId="0" applyFont="1" applyFill="1" applyBorder="1">
      <alignment vertical="center"/>
    </xf>
    <xf numFmtId="0" fontId="3" fillId="3" borderId="124" xfId="0" applyFont="1" applyFill="1" applyBorder="1">
      <alignment vertical="center"/>
    </xf>
    <xf numFmtId="0" fontId="3" fillId="3" borderId="76" xfId="0" applyFont="1" applyFill="1" applyBorder="1" applyAlignment="1">
      <alignment horizontal="center" vertical="center"/>
    </xf>
    <xf numFmtId="0" fontId="4" fillId="3" borderId="65" xfId="0" applyFont="1" applyFill="1" applyBorder="1" applyAlignment="1">
      <alignment horizontal="center" vertical="center"/>
    </xf>
    <xf numFmtId="0" fontId="4" fillId="3" borderId="66" xfId="0" applyFont="1" applyFill="1" applyBorder="1" applyAlignment="1">
      <alignment horizontal="center" vertical="center"/>
    </xf>
    <xf numFmtId="0" fontId="4" fillId="3" borderId="67" xfId="0" applyFont="1" applyFill="1" applyBorder="1" applyAlignment="1">
      <alignment horizontal="center" vertical="center"/>
    </xf>
    <xf numFmtId="49" fontId="3" fillId="3" borderId="4" xfId="0" applyNumberFormat="1" applyFont="1" applyFill="1" applyBorder="1">
      <alignment vertical="center"/>
    </xf>
    <xf numFmtId="0" fontId="7" fillId="3" borderId="68" xfId="0" applyFont="1" applyFill="1" applyBorder="1" applyAlignment="1">
      <alignment horizontal="center" vertical="center"/>
    </xf>
    <xf numFmtId="0" fontId="7" fillId="3" borderId="69" xfId="0" applyFont="1" applyFill="1" applyBorder="1" applyAlignment="1">
      <alignment horizontal="center" vertical="center"/>
    </xf>
    <xf numFmtId="0" fontId="7" fillId="3" borderId="69" xfId="0" applyFont="1" applyFill="1" applyBorder="1">
      <alignment vertical="center"/>
    </xf>
    <xf numFmtId="0" fontId="3" fillId="3" borderId="70" xfId="0" applyFont="1" applyFill="1" applyBorder="1">
      <alignment vertical="center"/>
    </xf>
    <xf numFmtId="0" fontId="5" fillId="3" borderId="0" xfId="0" applyFont="1" applyFill="1" applyAlignment="1">
      <alignment horizontal="center" vertical="center"/>
    </xf>
    <xf numFmtId="0" fontId="7" fillId="3" borderId="71" xfId="0" applyFont="1" applyFill="1" applyBorder="1" applyAlignment="1">
      <alignment horizontal="center" vertical="center"/>
    </xf>
    <xf numFmtId="0" fontId="7" fillId="3" borderId="0" xfId="0" applyFont="1" applyFill="1">
      <alignment vertical="center"/>
    </xf>
    <xf numFmtId="1" fontId="7" fillId="3" borderId="0" xfId="0" applyNumberFormat="1" applyFont="1" applyFill="1" applyAlignment="1">
      <alignment horizontal="center" vertical="center"/>
    </xf>
    <xf numFmtId="177" fontId="7" fillId="3" borderId="0" xfId="0" applyNumberFormat="1" applyFont="1" applyFill="1">
      <alignment vertical="center"/>
    </xf>
    <xf numFmtId="0" fontId="7" fillId="3" borderId="0" xfId="0" quotePrefix="1" applyFont="1" applyFill="1">
      <alignment vertical="center"/>
    </xf>
    <xf numFmtId="0" fontId="3" fillId="3" borderId="72" xfId="0" applyFont="1" applyFill="1" applyBorder="1">
      <alignment vertical="center"/>
    </xf>
    <xf numFmtId="0" fontId="7" fillId="3" borderId="73" xfId="0" applyFont="1" applyFill="1" applyBorder="1" applyAlignment="1">
      <alignment horizontal="center" vertical="center"/>
    </xf>
    <xf numFmtId="0" fontId="7" fillId="3" borderId="74" xfId="0" applyFont="1" applyFill="1" applyBorder="1">
      <alignment vertical="center"/>
    </xf>
    <xf numFmtId="1" fontId="7" fillId="3" borderId="74" xfId="0" applyNumberFormat="1" applyFont="1" applyFill="1" applyBorder="1" applyAlignment="1">
      <alignment horizontal="center" vertical="center"/>
    </xf>
    <xf numFmtId="177" fontId="7" fillId="3" borderId="74" xfId="0" applyNumberFormat="1" applyFont="1" applyFill="1" applyBorder="1">
      <alignment vertical="center"/>
    </xf>
    <xf numFmtId="0" fontId="7" fillId="3" borderId="74" xfId="0" quotePrefix="1" applyFont="1" applyFill="1" applyBorder="1">
      <alignment vertical="center"/>
    </xf>
    <xf numFmtId="0" fontId="3" fillId="3" borderId="75" xfId="0" applyFont="1" applyFill="1" applyBorder="1">
      <alignment vertical="center"/>
    </xf>
    <xf numFmtId="0" fontId="9" fillId="3" borderId="0" xfId="0" applyFont="1" applyFill="1" applyAlignment="1">
      <alignment horizontal="center"/>
    </xf>
    <xf numFmtId="178" fontId="3" fillId="3" borderId="41" xfId="0" applyNumberFormat="1" applyFont="1" applyFill="1" applyBorder="1" applyAlignment="1">
      <alignment horizontal="right" vertical="center"/>
    </xf>
    <xf numFmtId="0" fontId="3" fillId="3" borderId="76" xfId="0" applyFont="1" applyFill="1" applyBorder="1">
      <alignment vertical="center"/>
    </xf>
    <xf numFmtId="0" fontId="6" fillId="3" borderId="76" xfId="0" applyFont="1" applyFill="1" applyBorder="1">
      <alignment vertical="center"/>
    </xf>
    <xf numFmtId="1" fontId="3" fillId="3" borderId="76" xfId="0" applyNumberFormat="1" applyFont="1" applyFill="1" applyBorder="1">
      <alignment vertical="center"/>
    </xf>
    <xf numFmtId="2" fontId="3" fillId="3" borderId="47" xfId="0" applyNumberFormat="1" applyFont="1" applyFill="1" applyBorder="1">
      <alignment vertical="center"/>
    </xf>
    <xf numFmtId="2" fontId="3" fillId="3" borderId="49" xfId="0" applyNumberFormat="1" applyFont="1" applyFill="1" applyBorder="1">
      <alignment vertical="center"/>
    </xf>
    <xf numFmtId="176" fontId="3" fillId="3" borderId="76" xfId="0" applyNumberFormat="1" applyFont="1" applyFill="1" applyBorder="1" applyAlignment="1">
      <alignment horizontal="right" vertical="center"/>
    </xf>
    <xf numFmtId="181" fontId="3" fillId="3" borderId="0" xfId="0" applyNumberFormat="1" applyFont="1" applyFill="1">
      <alignment vertical="center"/>
    </xf>
    <xf numFmtId="0" fontId="11" fillId="3" borderId="0" xfId="0" applyFont="1" applyFill="1" applyAlignment="1">
      <alignment horizontal="center" vertical="center"/>
    </xf>
    <xf numFmtId="0" fontId="3" fillId="3" borderId="0" xfId="0" quotePrefix="1" applyFont="1" applyFill="1" applyAlignment="1">
      <alignment horizontal="center" vertical="center"/>
    </xf>
    <xf numFmtId="177" fontId="3" fillId="3" borderId="76" xfId="0" applyNumberFormat="1" applyFont="1" applyFill="1" applyBorder="1">
      <alignment vertical="center"/>
    </xf>
    <xf numFmtId="180" fontId="3" fillId="3" borderId="0" xfId="0" applyNumberFormat="1" applyFont="1" applyFill="1">
      <alignment vertical="center"/>
    </xf>
    <xf numFmtId="182" fontId="3" fillId="3" borderId="0" xfId="0" applyNumberFormat="1" applyFont="1" applyFill="1">
      <alignment vertical="center"/>
    </xf>
    <xf numFmtId="0" fontId="3" fillId="2" borderId="76" xfId="0" applyFont="1" applyFill="1" applyBorder="1">
      <alignment vertical="center"/>
      <extLst>
        <ext xmlns:xfpb="http://schemas.microsoft.com/office/spreadsheetml/2022/featurepropertybag" uri="{C7286773-470A-42A8-94C5-96B5CB345126}">
          <xfpb:xfComplement i="0"/>
        </ext>
      </extLst>
    </xf>
    <xf numFmtId="176" fontId="8" fillId="3" borderId="0" xfId="0" applyNumberFormat="1" applyFont="1" applyFill="1">
      <alignment vertical="center"/>
    </xf>
    <xf numFmtId="0" fontId="3" fillId="3" borderId="126" xfId="0" applyFont="1" applyFill="1" applyBorder="1" applyAlignment="1">
      <alignment horizontal="center" vertical="center"/>
    </xf>
    <xf numFmtId="0" fontId="3" fillId="3" borderId="127" xfId="0" applyFont="1" applyFill="1" applyBorder="1">
      <alignment vertical="center"/>
    </xf>
    <xf numFmtId="0" fontId="3" fillId="3" borderId="128" xfId="0" applyFont="1" applyFill="1" applyBorder="1" applyAlignment="1">
      <alignment horizontal="center" vertical="center"/>
    </xf>
    <xf numFmtId="0" fontId="3" fillId="3" borderId="129" xfId="0" applyFont="1" applyFill="1" applyBorder="1" applyAlignment="1">
      <alignment horizontal="center" vertical="center"/>
    </xf>
    <xf numFmtId="0" fontId="3" fillId="3" borderId="130" xfId="0" applyFont="1" applyFill="1" applyBorder="1" applyAlignment="1">
      <alignment horizontal="center" vertical="center"/>
    </xf>
    <xf numFmtId="0" fontId="3" fillId="3" borderId="131" xfId="0" applyFont="1" applyFill="1" applyBorder="1" applyAlignment="1">
      <alignment horizontal="center" vertical="center"/>
    </xf>
    <xf numFmtId="49" fontId="3" fillId="2" borderId="109" xfId="0" applyNumberFormat="1" applyFont="1" applyFill="1" applyBorder="1" applyAlignment="1">
      <alignment horizontal="center" vertical="center"/>
    </xf>
    <xf numFmtId="49" fontId="3" fillId="2" borderId="132" xfId="0" applyNumberFormat="1" applyFont="1" applyFill="1" applyBorder="1" applyAlignment="1">
      <alignment horizontal="center" vertical="center"/>
    </xf>
    <xf numFmtId="0" fontId="3" fillId="3" borderId="133" xfId="0" applyFont="1" applyFill="1" applyBorder="1" applyAlignment="1">
      <alignment horizontal="right" vertical="center"/>
    </xf>
    <xf numFmtId="0" fontId="3" fillId="3" borderId="104" xfId="0" applyFont="1" applyFill="1" applyBorder="1" applyAlignment="1">
      <alignment horizontal="right" vertical="center"/>
    </xf>
    <xf numFmtId="0" fontId="3" fillId="3" borderId="134" xfId="0" applyFont="1" applyFill="1" applyBorder="1" applyAlignment="1">
      <alignment horizontal="right" vertical="center"/>
    </xf>
    <xf numFmtId="0" fontId="3" fillId="3" borderId="23" xfId="0" applyFont="1" applyFill="1" applyBorder="1" applyAlignment="1">
      <alignment horizontal="right" vertical="center"/>
    </xf>
    <xf numFmtId="0" fontId="3" fillId="3" borderId="135" xfId="0" applyFont="1" applyFill="1" applyBorder="1" applyAlignment="1">
      <alignment horizontal="right" vertical="center"/>
    </xf>
    <xf numFmtId="0" fontId="3" fillId="3" borderId="127" xfId="0" applyFont="1" applyFill="1" applyBorder="1" applyAlignment="1">
      <alignment horizontal="center" vertical="center"/>
    </xf>
    <xf numFmtId="0" fontId="3" fillId="3" borderId="136" xfId="0" applyFont="1" applyFill="1" applyBorder="1" applyAlignment="1">
      <alignment horizontal="center" vertical="center"/>
    </xf>
    <xf numFmtId="0" fontId="3" fillId="2" borderId="137" xfId="0" applyFont="1" applyFill="1" applyBorder="1" applyAlignment="1">
      <alignment horizontal="center" vertical="center"/>
    </xf>
    <xf numFmtId="0" fontId="14" fillId="5" borderId="0" xfId="0" applyFont="1" applyFill="1">
      <alignment vertical="center"/>
    </xf>
    <xf numFmtId="0" fontId="0" fillId="5" borderId="0" xfId="0" applyFill="1">
      <alignment vertical="center"/>
    </xf>
    <xf numFmtId="0" fontId="0" fillId="5" borderId="0" xfId="0" applyFill="1" applyAlignment="1">
      <alignment horizontal="center" vertical="center"/>
    </xf>
    <xf numFmtId="0" fontId="0" fillId="5" borderId="0" xfId="0" applyFill="1" applyAlignment="1">
      <alignment horizontal="left" vertical="center"/>
    </xf>
    <xf numFmtId="0" fontId="0" fillId="5" borderId="0" xfId="0" applyFill="1">
      <alignment vertical="center"/>
      <extLst>
        <ext xmlns:xfpb="http://schemas.microsoft.com/office/spreadsheetml/2022/featurepropertybag" uri="{C7286773-470A-42A8-94C5-96B5CB345126}">
          <xfpb:xfComplement i="0"/>
        </ext>
      </extLst>
    </xf>
    <xf numFmtId="0" fontId="16" fillId="5" borderId="0" xfId="0" applyFont="1" applyFill="1">
      <alignment vertical="center"/>
    </xf>
    <xf numFmtId="0" fontId="17" fillId="5" borderId="0" xfId="0" applyFont="1" applyFill="1">
      <alignment vertical="center"/>
    </xf>
    <xf numFmtId="0" fontId="17" fillId="5" borderId="0" xfId="0" applyFont="1" applyFill="1" applyAlignment="1">
      <alignment horizontal="left" vertical="center"/>
    </xf>
    <xf numFmtId="0" fontId="16" fillId="5" borderId="0" xfId="0" applyFont="1" applyFill="1" applyAlignment="1">
      <alignment horizontal="center" vertical="center"/>
    </xf>
    <xf numFmtId="0" fontId="18" fillId="5" borderId="125" xfId="0" applyFont="1" applyFill="1" applyBorder="1" applyAlignment="1">
      <alignment horizontal="center" vertical="center"/>
    </xf>
    <xf numFmtId="0" fontId="18" fillId="5" borderId="0" xfId="0" applyFont="1" applyFill="1" applyAlignment="1">
      <alignment horizontal="center" vertical="center"/>
    </xf>
    <xf numFmtId="0" fontId="17" fillId="5" borderId="0" xfId="0" applyFont="1" applyFill="1" applyAlignment="1">
      <alignment horizontal="center" vertical="center"/>
    </xf>
    <xf numFmtId="0" fontId="3" fillId="3" borderId="77" xfId="0" applyFont="1" applyFill="1" applyBorder="1" applyAlignment="1">
      <alignment horizontal="center" vertical="center"/>
    </xf>
    <xf numFmtId="0" fontId="3" fillId="3" borderId="78" xfId="0" applyFont="1" applyFill="1" applyBorder="1" applyAlignment="1">
      <alignment horizontal="center" vertical="center"/>
    </xf>
    <xf numFmtId="0" fontId="3" fillId="3" borderId="79" xfId="0" applyFont="1" applyFill="1" applyBorder="1" applyAlignment="1">
      <alignment horizontal="center" vertical="center"/>
    </xf>
    <xf numFmtId="0" fontId="3" fillId="3" borderId="78" xfId="0" applyFont="1" applyFill="1" applyBorder="1" applyAlignment="1">
      <alignment horizontal="right" vertical="center"/>
    </xf>
    <xf numFmtId="0" fontId="3" fillId="3" borderId="80" xfId="0" applyFont="1" applyFill="1" applyBorder="1" applyAlignment="1">
      <alignment horizontal="center" vertical="center"/>
    </xf>
    <xf numFmtId="0" fontId="3" fillId="3" borderId="81" xfId="0" applyFont="1" applyFill="1" applyBorder="1" applyAlignment="1">
      <alignment horizontal="center" vertical="center"/>
    </xf>
    <xf numFmtId="0" fontId="3" fillId="3" borderId="82" xfId="0" applyFont="1" applyFill="1" applyBorder="1" applyAlignment="1">
      <alignment horizontal="center" vertical="center"/>
    </xf>
    <xf numFmtId="0" fontId="3" fillId="3" borderId="81" xfId="0" applyFont="1" applyFill="1" applyBorder="1" applyAlignment="1">
      <alignment horizontal="center" vertical="center"/>
    </xf>
    <xf numFmtId="49" fontId="3" fillId="3" borderId="0" xfId="0" applyNumberFormat="1" applyFont="1" applyFill="1" applyAlignment="1">
      <alignment horizontal="center" vertical="center"/>
    </xf>
    <xf numFmtId="1" fontId="3" fillId="3" borderId="0" xfId="0" applyNumberFormat="1" applyFont="1" applyFill="1" applyAlignment="1">
      <alignment horizontal="right" vertical="center"/>
    </xf>
    <xf numFmtId="0" fontId="6" fillId="3" borderId="0" xfId="0" applyFont="1" applyFill="1" applyAlignment="1">
      <alignment horizontal="center" vertical="center"/>
    </xf>
    <xf numFmtId="0" fontId="3" fillId="3" borderId="82" xfId="0" applyFont="1" applyFill="1" applyBorder="1" applyAlignment="1">
      <alignment horizontal="center" vertical="center"/>
    </xf>
    <xf numFmtId="0" fontId="3" fillId="3" borderId="83" xfId="0" applyFont="1" applyFill="1" applyBorder="1" applyAlignment="1">
      <alignment horizontal="center" vertical="center" textRotation="90"/>
    </xf>
    <xf numFmtId="0" fontId="3" fillId="3" borderId="84" xfId="0" applyFont="1" applyFill="1" applyBorder="1" applyAlignment="1">
      <alignment horizontal="center" vertical="center"/>
    </xf>
    <xf numFmtId="0" fontId="3" fillId="3" borderId="84" xfId="0" applyFont="1" applyFill="1" applyBorder="1" applyAlignment="1">
      <alignment horizontal="right" vertical="center"/>
    </xf>
    <xf numFmtId="0" fontId="3" fillId="3" borderId="85" xfId="0" applyFont="1" applyFill="1" applyBorder="1" applyAlignment="1">
      <alignment horizontal="center" vertical="center"/>
    </xf>
    <xf numFmtId="177" fontId="3" fillId="3" borderId="84" xfId="0" applyNumberFormat="1" applyFont="1" applyFill="1" applyBorder="1" applyAlignment="1">
      <alignment horizontal="center" vertical="center"/>
    </xf>
    <xf numFmtId="177" fontId="3" fillId="3" borderId="0" xfId="0" applyNumberFormat="1" applyFont="1" applyFill="1" applyAlignment="1">
      <alignment horizontal="center" vertical="center"/>
    </xf>
    <xf numFmtId="0" fontId="3" fillId="3" borderId="81" xfId="0" applyFont="1" applyFill="1" applyBorder="1" applyAlignment="1">
      <alignment horizontal="center" vertical="center" textRotation="90"/>
    </xf>
    <xf numFmtId="177" fontId="3" fillId="3" borderId="0" xfId="0" applyNumberFormat="1" applyFont="1" applyFill="1" applyAlignment="1">
      <alignment horizontal="right" vertical="center"/>
    </xf>
    <xf numFmtId="0" fontId="3" fillId="3" borderId="76" xfId="0" applyFont="1" applyFill="1" applyBorder="1" applyAlignment="1">
      <alignment horizontal="right" vertical="center"/>
    </xf>
    <xf numFmtId="177" fontId="3" fillId="3" borderId="76" xfId="0" applyNumberFormat="1" applyFont="1" applyFill="1" applyBorder="1" applyAlignment="1">
      <alignment horizontal="right" vertical="center"/>
    </xf>
    <xf numFmtId="0" fontId="3" fillId="3" borderId="86" xfId="0" applyFont="1" applyFill="1" applyBorder="1" applyAlignment="1">
      <alignment horizontal="center" vertical="center" textRotation="90"/>
    </xf>
    <xf numFmtId="0" fontId="3" fillId="3" borderId="87" xfId="0" applyFont="1" applyFill="1" applyBorder="1" applyAlignment="1">
      <alignment horizontal="center" vertical="center"/>
    </xf>
    <xf numFmtId="0" fontId="3" fillId="3" borderId="87" xfId="0" applyFont="1" applyFill="1" applyBorder="1" applyAlignment="1">
      <alignment horizontal="right" vertical="center"/>
    </xf>
    <xf numFmtId="0" fontId="3" fillId="3" borderId="88" xfId="0" applyFont="1" applyFill="1" applyBorder="1" applyAlignment="1">
      <alignment horizontal="center" vertical="center"/>
    </xf>
    <xf numFmtId="0" fontId="12" fillId="3" borderId="0" xfId="0" applyFont="1" applyFill="1" applyAlignment="1">
      <alignment horizontal="center"/>
    </xf>
    <xf numFmtId="0" fontId="3" fillId="3" borderId="83" xfId="0" applyFont="1" applyFill="1" applyBorder="1" applyAlignment="1">
      <alignment vertical="center" textRotation="90"/>
    </xf>
    <xf numFmtId="0" fontId="3" fillId="3" borderId="11" xfId="0" quotePrefix="1" applyFont="1" applyFill="1" applyBorder="1" applyAlignment="1">
      <alignment horizontal="center" vertical="center"/>
    </xf>
    <xf numFmtId="1" fontId="3" fillId="3" borderId="0" xfId="0" applyNumberFormat="1" applyFont="1" applyFill="1" applyAlignment="1">
      <alignment horizontal="center" vertical="center"/>
    </xf>
    <xf numFmtId="0" fontId="3" fillId="3" borderId="89" xfId="0" applyFont="1" applyFill="1" applyBorder="1" applyAlignment="1">
      <alignment horizontal="center" vertical="center"/>
    </xf>
    <xf numFmtId="0" fontId="3" fillId="3" borderId="51" xfId="0" applyFont="1" applyFill="1" applyBorder="1" applyAlignment="1">
      <alignment horizontal="center" vertical="center"/>
    </xf>
    <xf numFmtId="0" fontId="3" fillId="3" borderId="90" xfId="0" applyFont="1" applyFill="1" applyBorder="1" applyAlignment="1">
      <alignment horizontal="center" vertical="center"/>
    </xf>
    <xf numFmtId="0" fontId="3" fillId="3" borderId="83" xfId="0" applyFont="1" applyFill="1" applyBorder="1" applyAlignment="1">
      <alignment horizontal="center" vertical="center"/>
    </xf>
    <xf numFmtId="0" fontId="3" fillId="3" borderId="91" xfId="0" applyFont="1" applyFill="1" applyBorder="1" applyAlignment="1">
      <alignment horizontal="center" vertical="center"/>
    </xf>
    <xf numFmtId="0" fontId="3" fillId="3" borderId="92" xfId="0" applyFont="1" applyFill="1" applyBorder="1" applyAlignment="1">
      <alignment horizontal="center" vertical="center"/>
    </xf>
    <xf numFmtId="0" fontId="3" fillId="3" borderId="86" xfId="0" applyFont="1" applyFill="1" applyBorder="1" applyAlignment="1">
      <alignment horizontal="center" vertical="center"/>
    </xf>
    <xf numFmtId="177" fontId="3" fillId="3" borderId="87" xfId="0" applyNumberFormat="1" applyFont="1" applyFill="1" applyBorder="1" applyAlignment="1">
      <alignment horizontal="center" vertical="center"/>
    </xf>
    <xf numFmtId="1" fontId="3" fillId="3" borderId="76" xfId="0" applyNumberFormat="1" applyFont="1" applyFill="1" applyBorder="1" applyAlignment="1">
      <alignment horizontal="center" vertical="center"/>
    </xf>
    <xf numFmtId="0" fontId="6" fillId="3" borderId="76" xfId="0" applyFont="1" applyFill="1" applyBorder="1" applyAlignment="1">
      <alignment horizontal="center" vertical="center"/>
    </xf>
    <xf numFmtId="0" fontId="3" fillId="3" borderId="51" xfId="0" applyFont="1" applyFill="1" applyBorder="1" applyAlignment="1">
      <alignment horizontal="right" vertical="center"/>
    </xf>
    <xf numFmtId="0" fontId="3" fillId="3" borderId="37" xfId="0" applyFont="1" applyFill="1" applyBorder="1" applyAlignment="1">
      <alignment horizontal="center" vertical="center"/>
    </xf>
    <xf numFmtId="0" fontId="3" fillId="3" borderId="37" xfId="0" applyFont="1" applyFill="1" applyBorder="1" applyAlignment="1">
      <alignment horizontal="right" vertical="center"/>
    </xf>
    <xf numFmtId="0" fontId="3" fillId="3" borderId="93" xfId="0" applyFont="1" applyFill="1" applyBorder="1" applyAlignment="1">
      <alignment horizontal="center" vertical="center"/>
    </xf>
    <xf numFmtId="0" fontId="3" fillId="3" borderId="94" xfId="0" applyFont="1" applyFill="1" applyBorder="1" applyAlignment="1">
      <alignment horizontal="center" vertical="center"/>
    </xf>
    <xf numFmtId="0" fontId="3" fillId="3" borderId="15" xfId="0" applyFont="1" applyFill="1" applyBorder="1" applyAlignment="1">
      <alignment horizontal="right" vertical="center"/>
    </xf>
    <xf numFmtId="0" fontId="3" fillId="3" borderId="95" xfId="0" applyFont="1" applyFill="1" applyBorder="1" applyAlignment="1">
      <alignment horizontal="center" vertical="center"/>
    </xf>
    <xf numFmtId="0" fontId="3" fillId="3" borderId="95" xfId="0" applyFont="1" applyFill="1" applyBorder="1" applyAlignment="1">
      <alignment horizontal="left" vertical="center"/>
    </xf>
    <xf numFmtId="0" fontId="3" fillId="4" borderId="1" xfId="0" applyFont="1" applyFill="1" applyBorder="1" applyAlignment="1">
      <alignment horizontal="right" vertical="center"/>
    </xf>
    <xf numFmtId="0" fontId="3" fillId="4" borderId="2" xfId="0" applyFont="1" applyFill="1" applyBorder="1" applyAlignment="1">
      <alignment horizontal="right" vertical="center"/>
    </xf>
    <xf numFmtId="0" fontId="3" fillId="4" borderId="3" xfId="0" applyFont="1" applyFill="1" applyBorder="1" applyAlignment="1">
      <alignment horizontal="right" vertical="center"/>
    </xf>
    <xf numFmtId="0" fontId="15" fillId="5" borderId="0" xfId="1" applyFill="1">
      <alignment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4396</xdr:colOff>
      <xdr:row>29</xdr:row>
      <xdr:rowOff>2565</xdr:rowOff>
    </xdr:from>
    <xdr:to>
      <xdr:col>21</xdr:col>
      <xdr:colOff>475884</xdr:colOff>
      <xdr:row>63</xdr:row>
      <xdr:rowOff>215778</xdr:rowOff>
    </xdr:to>
    <xdr:pic>
      <xdr:nvPicPr>
        <xdr:cNvPr id="7" name="Picture 6">
          <a:extLst>
            <a:ext uri="{FF2B5EF4-FFF2-40B4-BE49-F238E27FC236}">
              <a16:creationId xmlns:a16="http://schemas.microsoft.com/office/drawing/2014/main" id="{B566863F-9663-7049-E40D-DD585DBB79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4753" y="5567886"/>
          <a:ext cx="14078631" cy="85407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489857</xdr:colOff>
      <xdr:row>30</xdr:row>
      <xdr:rowOff>1</xdr:rowOff>
    </xdr:from>
    <xdr:to>
      <xdr:col>9</xdr:col>
      <xdr:colOff>231322</xdr:colOff>
      <xdr:row>36</xdr:row>
      <xdr:rowOff>122466</xdr:rowOff>
    </xdr:to>
    <xdr:sp macro="" textlink="">
      <xdr:nvSpPr>
        <xdr:cNvPr id="8" name="Rectangle 7">
          <a:extLst>
            <a:ext uri="{FF2B5EF4-FFF2-40B4-BE49-F238E27FC236}">
              <a16:creationId xmlns:a16="http://schemas.microsoft.com/office/drawing/2014/main" id="{622798E6-BB18-3E6A-AE85-3C00A5768BCD}"/>
            </a:ext>
          </a:extLst>
        </xdr:cNvPr>
        <xdr:cNvSpPr/>
      </xdr:nvSpPr>
      <xdr:spPr>
        <a:xfrm>
          <a:off x="1170214" y="5810251"/>
          <a:ext cx="5184322" cy="1592036"/>
        </a:xfrm>
        <a:prstGeom prst="rect">
          <a:avLst/>
        </a:prstGeom>
        <a:noFill/>
        <a:ln w="57150">
          <a:solidFill>
            <a:schemeClr val="accent5">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chemeClr val="accent5">
                  <a:lumMod val="60000"/>
                  <a:lumOff val="40000"/>
                </a:schemeClr>
              </a:solidFill>
            </a:rPr>
            <a:t>① 日付および前日正午位置</a:t>
          </a:r>
        </a:p>
      </xdr:txBody>
    </xdr:sp>
    <xdr:clientData/>
  </xdr:twoCellAnchor>
  <xdr:twoCellAnchor>
    <xdr:from>
      <xdr:col>1</xdr:col>
      <xdr:colOff>476250</xdr:colOff>
      <xdr:row>37</xdr:row>
      <xdr:rowOff>13608</xdr:rowOff>
    </xdr:from>
    <xdr:to>
      <xdr:col>7</xdr:col>
      <xdr:colOff>367393</xdr:colOff>
      <xdr:row>40</xdr:row>
      <xdr:rowOff>136071</xdr:rowOff>
    </xdr:to>
    <xdr:sp macro="" textlink="">
      <xdr:nvSpPr>
        <xdr:cNvPr id="9" name="Rectangle 8">
          <a:extLst>
            <a:ext uri="{FF2B5EF4-FFF2-40B4-BE49-F238E27FC236}">
              <a16:creationId xmlns:a16="http://schemas.microsoft.com/office/drawing/2014/main" id="{6C02B56B-B341-AFE9-4478-3E661CEFEBF2}"/>
            </a:ext>
          </a:extLst>
        </xdr:cNvPr>
        <xdr:cNvSpPr/>
      </xdr:nvSpPr>
      <xdr:spPr>
        <a:xfrm>
          <a:off x="1156607" y="7538358"/>
          <a:ext cx="3973286" cy="857249"/>
        </a:xfrm>
        <a:prstGeom prst="rect">
          <a:avLst/>
        </a:prstGeom>
        <a:noFill/>
        <a:ln w="57150">
          <a:solidFill>
            <a:schemeClr val="accent5">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400" b="1">
            <a:solidFill>
              <a:schemeClr val="accent5">
                <a:lumMod val="60000"/>
                <a:lumOff val="40000"/>
              </a:schemeClr>
            </a:solidFill>
          </a:endParaRPr>
        </a:p>
        <a:p>
          <a:pPr algn="l"/>
          <a:endParaRPr kumimoji="1" lang="en-US" altLang="ja-JP" sz="1400" b="1">
            <a:solidFill>
              <a:schemeClr val="accent5">
                <a:lumMod val="60000"/>
                <a:lumOff val="40000"/>
              </a:schemeClr>
            </a:solidFill>
          </a:endParaRPr>
        </a:p>
        <a:p>
          <a:pPr algn="l"/>
          <a:r>
            <a:rPr kumimoji="1" lang="ja-JP" altLang="en-US" sz="1400" b="1">
              <a:solidFill>
                <a:schemeClr val="accent5">
                  <a:lumMod val="60000"/>
                  <a:lumOff val="40000"/>
                </a:schemeClr>
              </a:solidFill>
            </a:rPr>
            <a:t>② 気温、気圧および眼高</a:t>
          </a:r>
        </a:p>
      </xdr:txBody>
    </xdr:sp>
    <xdr:clientData/>
  </xdr:twoCellAnchor>
  <xdr:twoCellAnchor>
    <xdr:from>
      <xdr:col>7</xdr:col>
      <xdr:colOff>544287</xdr:colOff>
      <xdr:row>36</xdr:row>
      <xdr:rowOff>204107</xdr:rowOff>
    </xdr:from>
    <xdr:to>
      <xdr:col>21</xdr:col>
      <xdr:colOff>68037</xdr:colOff>
      <xdr:row>41</xdr:row>
      <xdr:rowOff>204107</xdr:rowOff>
    </xdr:to>
    <xdr:sp macro="" textlink="">
      <xdr:nvSpPr>
        <xdr:cNvPr id="10" name="Rectangle 9">
          <a:extLst>
            <a:ext uri="{FF2B5EF4-FFF2-40B4-BE49-F238E27FC236}">
              <a16:creationId xmlns:a16="http://schemas.microsoft.com/office/drawing/2014/main" id="{1629F77E-0FC4-8623-5FD0-C44FB7452CEF}"/>
            </a:ext>
          </a:extLst>
        </xdr:cNvPr>
        <xdr:cNvSpPr/>
      </xdr:nvSpPr>
      <xdr:spPr>
        <a:xfrm>
          <a:off x="5306787" y="7483928"/>
          <a:ext cx="9048750" cy="1224643"/>
        </a:xfrm>
        <a:prstGeom prst="rect">
          <a:avLst/>
        </a:prstGeom>
        <a:noFill/>
        <a:ln w="57150">
          <a:solidFill>
            <a:schemeClr val="accent5">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chemeClr val="accent5">
                  <a:lumMod val="60000"/>
                  <a:lumOff val="40000"/>
                </a:schemeClr>
              </a:solidFill>
            </a:rPr>
            <a:t>　　　　　　　　　　　　　　　　　　　　　　　　　　　　　　　　　　　　　④ 観測時刻および観測高度</a:t>
          </a:r>
        </a:p>
      </xdr:txBody>
    </xdr:sp>
    <xdr:clientData/>
  </xdr:twoCellAnchor>
  <xdr:twoCellAnchor>
    <xdr:from>
      <xdr:col>7</xdr:col>
      <xdr:colOff>557892</xdr:colOff>
      <xdr:row>42</xdr:row>
      <xdr:rowOff>58509</xdr:rowOff>
    </xdr:from>
    <xdr:to>
      <xdr:col>19</xdr:col>
      <xdr:colOff>653143</xdr:colOff>
      <xdr:row>47</xdr:row>
      <xdr:rowOff>68034</xdr:rowOff>
    </xdr:to>
    <xdr:sp macro="" textlink="">
      <xdr:nvSpPr>
        <xdr:cNvPr id="11" name="Rectangle 10">
          <a:extLst>
            <a:ext uri="{FF2B5EF4-FFF2-40B4-BE49-F238E27FC236}">
              <a16:creationId xmlns:a16="http://schemas.microsoft.com/office/drawing/2014/main" id="{B7A0625E-4840-6A69-6799-EC23910673C4}"/>
            </a:ext>
          </a:extLst>
        </xdr:cNvPr>
        <xdr:cNvSpPr/>
      </xdr:nvSpPr>
      <xdr:spPr>
        <a:xfrm>
          <a:off x="5320392" y="8807902"/>
          <a:ext cx="8259537" cy="1234168"/>
        </a:xfrm>
        <a:prstGeom prst="rect">
          <a:avLst/>
        </a:prstGeom>
        <a:noFill/>
        <a:ln w="57150">
          <a:solidFill>
            <a:schemeClr val="accent5">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chemeClr val="accent5">
                  <a:lumMod val="60000"/>
                  <a:lumOff val="40000"/>
                </a:schemeClr>
              </a:solidFill>
            </a:rPr>
            <a:t>　　　　　　　　　　　　　　　　　　　　　　　　　　　　　　　　　⑤ </a:t>
          </a:r>
          <a:r>
            <a:rPr kumimoji="1" lang="en-US" altLang="ja-JP" sz="1400" b="1">
              <a:solidFill>
                <a:schemeClr val="accent5">
                  <a:lumMod val="60000"/>
                  <a:lumOff val="40000"/>
                </a:schemeClr>
              </a:solidFill>
            </a:rPr>
            <a:t>GHA</a:t>
          </a:r>
          <a:r>
            <a:rPr kumimoji="1" lang="ja-JP" altLang="en-US" sz="1400" b="1">
              <a:solidFill>
                <a:schemeClr val="accent5">
                  <a:lumMod val="60000"/>
                  <a:lumOff val="40000"/>
                </a:schemeClr>
              </a:solidFill>
            </a:rPr>
            <a:t>および</a:t>
          </a:r>
          <a:r>
            <a:rPr kumimoji="1" lang="en-US" altLang="ja-JP" sz="1400" b="1">
              <a:solidFill>
                <a:schemeClr val="accent5">
                  <a:lumMod val="60000"/>
                  <a:lumOff val="40000"/>
                </a:schemeClr>
              </a:solidFill>
            </a:rPr>
            <a:t>Dec.</a:t>
          </a:r>
          <a:endParaRPr kumimoji="1" lang="ja-JP" altLang="en-US" sz="1400" b="1">
            <a:solidFill>
              <a:schemeClr val="accent5">
                <a:lumMod val="60000"/>
                <a:lumOff val="40000"/>
              </a:schemeClr>
            </a:solidFill>
          </a:endParaRPr>
        </a:p>
      </xdr:txBody>
    </xdr:sp>
    <xdr:clientData/>
  </xdr:twoCellAnchor>
  <xdr:twoCellAnchor>
    <xdr:from>
      <xdr:col>1</xdr:col>
      <xdr:colOff>503465</xdr:colOff>
      <xdr:row>41</xdr:row>
      <xdr:rowOff>1</xdr:rowOff>
    </xdr:from>
    <xdr:to>
      <xdr:col>4</xdr:col>
      <xdr:colOff>435429</xdr:colOff>
      <xdr:row>60</xdr:row>
      <xdr:rowOff>95250</xdr:rowOff>
    </xdr:to>
    <xdr:sp macro="" textlink="">
      <xdr:nvSpPr>
        <xdr:cNvPr id="12" name="Rectangle 11">
          <a:extLst>
            <a:ext uri="{FF2B5EF4-FFF2-40B4-BE49-F238E27FC236}">
              <a16:creationId xmlns:a16="http://schemas.microsoft.com/office/drawing/2014/main" id="{206F6D00-F7CB-5D83-B6CD-B43608EF1FD9}"/>
            </a:ext>
          </a:extLst>
        </xdr:cNvPr>
        <xdr:cNvSpPr/>
      </xdr:nvSpPr>
      <xdr:spPr>
        <a:xfrm>
          <a:off x="1183822" y="8504465"/>
          <a:ext cx="1973036" cy="4748892"/>
        </a:xfrm>
        <a:prstGeom prst="rect">
          <a:avLst/>
        </a:prstGeom>
        <a:noFill/>
        <a:ln w="57150">
          <a:solidFill>
            <a:schemeClr val="accent5">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chemeClr val="accent5">
                  <a:lumMod val="60000"/>
                  <a:lumOff val="40000"/>
                </a:schemeClr>
              </a:solidFill>
            </a:rPr>
            <a:t>③トラバース表</a:t>
          </a:r>
        </a:p>
      </xdr:txBody>
    </xdr:sp>
    <xdr:clientData/>
  </xdr:twoCellAnchor>
  <xdr:twoCellAnchor>
    <xdr:from>
      <xdr:col>12</xdr:col>
      <xdr:colOff>476249</xdr:colOff>
      <xdr:row>51</xdr:row>
      <xdr:rowOff>95250</xdr:rowOff>
    </xdr:from>
    <xdr:to>
      <xdr:col>15</xdr:col>
      <xdr:colOff>326572</xdr:colOff>
      <xdr:row>57</xdr:row>
      <xdr:rowOff>122463</xdr:rowOff>
    </xdr:to>
    <xdr:sp macro="" textlink="">
      <xdr:nvSpPr>
        <xdr:cNvPr id="13" name="Rectangle 12">
          <a:extLst>
            <a:ext uri="{FF2B5EF4-FFF2-40B4-BE49-F238E27FC236}">
              <a16:creationId xmlns:a16="http://schemas.microsoft.com/office/drawing/2014/main" id="{3946DD26-AF68-6ED0-23E8-D68B110C63E1}"/>
            </a:ext>
          </a:extLst>
        </xdr:cNvPr>
        <xdr:cNvSpPr/>
      </xdr:nvSpPr>
      <xdr:spPr>
        <a:xfrm>
          <a:off x="8640535" y="11049000"/>
          <a:ext cx="1891394" cy="1496784"/>
        </a:xfrm>
        <a:prstGeom prst="rect">
          <a:avLst/>
        </a:prstGeom>
        <a:noFill/>
        <a:ln w="57150">
          <a:solidFill>
            <a:schemeClr val="accent5">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chemeClr val="accent5">
                  <a:lumMod val="60000"/>
                  <a:lumOff val="40000"/>
                </a:schemeClr>
              </a:solidFill>
            </a:rPr>
            <a:t>⑥ 改正値（手動時）</a:t>
          </a:r>
        </a:p>
      </xdr:txBody>
    </xdr:sp>
    <xdr:clientData/>
  </xdr:twoCellAnchor>
  <xdr:twoCellAnchor editAs="oneCell">
    <xdr:from>
      <xdr:col>1</xdr:col>
      <xdr:colOff>1</xdr:colOff>
      <xdr:row>95</xdr:row>
      <xdr:rowOff>0</xdr:rowOff>
    </xdr:from>
    <xdr:to>
      <xdr:col>21</xdr:col>
      <xdr:colOff>366550</xdr:colOff>
      <xdr:row>127</xdr:row>
      <xdr:rowOff>27215</xdr:rowOff>
    </xdr:to>
    <xdr:pic>
      <xdr:nvPicPr>
        <xdr:cNvPr id="14" name="Picture 13">
          <a:extLst>
            <a:ext uri="{FF2B5EF4-FFF2-40B4-BE49-F238E27FC236}">
              <a16:creationId xmlns:a16="http://schemas.microsoft.com/office/drawing/2014/main" id="{ECEC80FB-6161-E1F2-489A-F4D49C4946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0358" y="21730607"/>
          <a:ext cx="13973692" cy="78649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519794</xdr:colOff>
      <xdr:row>100</xdr:row>
      <xdr:rowOff>217714</xdr:rowOff>
    </xdr:from>
    <xdr:to>
      <xdr:col>7</xdr:col>
      <xdr:colOff>136071</xdr:colOff>
      <xdr:row>103</xdr:row>
      <xdr:rowOff>54428</xdr:rowOff>
    </xdr:to>
    <xdr:sp macro="" textlink="">
      <xdr:nvSpPr>
        <xdr:cNvPr id="15" name="Rectangle 14">
          <a:extLst>
            <a:ext uri="{FF2B5EF4-FFF2-40B4-BE49-F238E27FC236}">
              <a16:creationId xmlns:a16="http://schemas.microsoft.com/office/drawing/2014/main" id="{FA8ED4D1-824B-448E-BBFB-734C692DA9EA}"/>
            </a:ext>
          </a:extLst>
        </xdr:cNvPr>
        <xdr:cNvSpPr/>
      </xdr:nvSpPr>
      <xdr:spPr>
        <a:xfrm>
          <a:off x="1200151" y="23172964"/>
          <a:ext cx="3698420" cy="571500"/>
        </a:xfrm>
        <a:prstGeom prst="rect">
          <a:avLst/>
        </a:prstGeom>
        <a:noFill/>
        <a:ln w="57150">
          <a:solidFill>
            <a:schemeClr val="accent5">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chemeClr val="accent5">
                  <a:lumMod val="60000"/>
                  <a:lumOff val="40000"/>
                </a:schemeClr>
              </a:solidFill>
            </a:rPr>
            <a:t>① 気温、気圧および眼高</a:t>
          </a:r>
        </a:p>
      </xdr:txBody>
    </xdr:sp>
    <xdr:clientData/>
  </xdr:twoCellAnchor>
  <xdr:twoCellAnchor>
    <xdr:from>
      <xdr:col>7</xdr:col>
      <xdr:colOff>536123</xdr:colOff>
      <xdr:row>100</xdr:row>
      <xdr:rowOff>206828</xdr:rowOff>
    </xdr:from>
    <xdr:to>
      <xdr:col>11</xdr:col>
      <xdr:colOff>544285</xdr:colOff>
      <xdr:row>103</xdr:row>
      <xdr:rowOff>43542</xdr:rowOff>
    </xdr:to>
    <xdr:sp macro="" textlink="">
      <xdr:nvSpPr>
        <xdr:cNvPr id="16" name="Rectangle 15">
          <a:extLst>
            <a:ext uri="{FF2B5EF4-FFF2-40B4-BE49-F238E27FC236}">
              <a16:creationId xmlns:a16="http://schemas.microsoft.com/office/drawing/2014/main" id="{142B6C4A-E372-43DD-B99C-77779BA6FCF6}"/>
            </a:ext>
          </a:extLst>
        </xdr:cNvPr>
        <xdr:cNvSpPr/>
      </xdr:nvSpPr>
      <xdr:spPr>
        <a:xfrm>
          <a:off x="5298623" y="23162078"/>
          <a:ext cx="2729591" cy="571500"/>
        </a:xfrm>
        <a:prstGeom prst="rect">
          <a:avLst/>
        </a:prstGeom>
        <a:noFill/>
        <a:ln w="57150">
          <a:solidFill>
            <a:schemeClr val="accent5">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chemeClr val="accent5">
                  <a:lumMod val="60000"/>
                  <a:lumOff val="40000"/>
                </a:schemeClr>
              </a:solidFill>
            </a:rPr>
            <a:t>② 測高度</a:t>
          </a:r>
        </a:p>
      </xdr:txBody>
    </xdr:sp>
    <xdr:clientData/>
  </xdr:twoCellAnchor>
  <xdr:twoCellAnchor>
    <xdr:from>
      <xdr:col>7</xdr:col>
      <xdr:colOff>536123</xdr:colOff>
      <xdr:row>103</xdr:row>
      <xdr:rowOff>125184</xdr:rowOff>
    </xdr:from>
    <xdr:to>
      <xdr:col>11</xdr:col>
      <xdr:colOff>544285</xdr:colOff>
      <xdr:row>105</xdr:row>
      <xdr:rowOff>206827</xdr:rowOff>
    </xdr:to>
    <xdr:sp macro="" textlink="">
      <xdr:nvSpPr>
        <xdr:cNvPr id="17" name="Rectangle 16">
          <a:extLst>
            <a:ext uri="{FF2B5EF4-FFF2-40B4-BE49-F238E27FC236}">
              <a16:creationId xmlns:a16="http://schemas.microsoft.com/office/drawing/2014/main" id="{78E4C12E-FD16-8250-E6D3-A42482E26F52}"/>
            </a:ext>
          </a:extLst>
        </xdr:cNvPr>
        <xdr:cNvSpPr/>
      </xdr:nvSpPr>
      <xdr:spPr>
        <a:xfrm>
          <a:off x="5298623" y="23815220"/>
          <a:ext cx="2729591" cy="571500"/>
        </a:xfrm>
        <a:prstGeom prst="rect">
          <a:avLst/>
        </a:prstGeom>
        <a:noFill/>
        <a:ln w="57150">
          <a:solidFill>
            <a:schemeClr val="accent5">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chemeClr val="accent5">
                  <a:lumMod val="60000"/>
                  <a:lumOff val="40000"/>
                </a:schemeClr>
              </a:solidFill>
            </a:rPr>
            <a:t>③</a:t>
          </a:r>
          <a:r>
            <a:rPr kumimoji="1" lang="ja-JP" altLang="en-US" sz="1400" b="1" baseline="0">
              <a:solidFill>
                <a:schemeClr val="accent5">
                  <a:lumMod val="60000"/>
                  <a:lumOff val="40000"/>
                </a:schemeClr>
              </a:solidFill>
            </a:rPr>
            <a:t> 船内時計の世界時との差</a:t>
          </a:r>
          <a:endParaRPr kumimoji="1" lang="ja-JP" altLang="en-US" sz="1400" b="1">
            <a:solidFill>
              <a:schemeClr val="accent5">
                <a:lumMod val="60000"/>
                <a:lumOff val="40000"/>
              </a:schemeClr>
            </a:solidFill>
          </a:endParaRPr>
        </a:p>
      </xdr:txBody>
    </xdr:sp>
    <xdr:clientData/>
  </xdr:twoCellAnchor>
  <xdr:twoCellAnchor>
    <xdr:from>
      <xdr:col>1</xdr:col>
      <xdr:colOff>503464</xdr:colOff>
      <xdr:row>106</xdr:row>
      <xdr:rowOff>27216</xdr:rowOff>
    </xdr:from>
    <xdr:to>
      <xdr:col>13</xdr:col>
      <xdr:colOff>625928</xdr:colOff>
      <xdr:row>109</xdr:row>
      <xdr:rowOff>190500</xdr:rowOff>
    </xdr:to>
    <xdr:sp macro="" textlink="">
      <xdr:nvSpPr>
        <xdr:cNvPr id="18" name="Rectangle 17">
          <a:extLst>
            <a:ext uri="{FF2B5EF4-FFF2-40B4-BE49-F238E27FC236}">
              <a16:creationId xmlns:a16="http://schemas.microsoft.com/office/drawing/2014/main" id="{B2AAC923-FD52-5FC0-B3B6-33221FFD67EB}"/>
            </a:ext>
          </a:extLst>
        </xdr:cNvPr>
        <xdr:cNvSpPr/>
      </xdr:nvSpPr>
      <xdr:spPr>
        <a:xfrm>
          <a:off x="1183821" y="24452037"/>
          <a:ext cx="8286750" cy="898070"/>
        </a:xfrm>
        <a:prstGeom prst="rect">
          <a:avLst/>
        </a:prstGeom>
        <a:noFill/>
        <a:ln w="57150">
          <a:solidFill>
            <a:schemeClr val="accent5">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400" b="1">
            <a:solidFill>
              <a:schemeClr val="accent5">
                <a:lumMod val="60000"/>
                <a:lumOff val="40000"/>
              </a:schemeClr>
            </a:solidFill>
          </a:endParaRPr>
        </a:p>
        <a:p>
          <a:pPr algn="l"/>
          <a:endParaRPr kumimoji="1" lang="en-US" altLang="ja-JP" sz="1400" b="1">
            <a:solidFill>
              <a:schemeClr val="accent5">
                <a:lumMod val="60000"/>
                <a:lumOff val="40000"/>
              </a:schemeClr>
            </a:solidFill>
          </a:endParaRPr>
        </a:p>
        <a:p>
          <a:pPr algn="l"/>
          <a:r>
            <a:rPr kumimoji="1" lang="ja-JP" altLang="en-US" sz="1400" b="1">
              <a:solidFill>
                <a:schemeClr val="accent5">
                  <a:lumMod val="60000"/>
                  <a:lumOff val="40000"/>
                </a:schemeClr>
              </a:solidFill>
            </a:rPr>
            <a:t>④</a:t>
          </a:r>
          <a:r>
            <a:rPr kumimoji="1" lang="ja-JP" altLang="en-US" sz="1400" b="1" baseline="0">
              <a:solidFill>
                <a:schemeClr val="accent5">
                  <a:lumMod val="60000"/>
                  <a:lumOff val="40000"/>
                </a:schemeClr>
              </a:solidFill>
            </a:rPr>
            <a:t> メリパスタイムと赤緯</a:t>
          </a:r>
          <a:endParaRPr kumimoji="1" lang="ja-JP" altLang="en-US" sz="1400" b="1">
            <a:solidFill>
              <a:schemeClr val="accent5">
                <a:lumMod val="60000"/>
                <a:lumOff val="40000"/>
              </a:schemeClr>
            </a:solidFill>
          </a:endParaRPr>
        </a:p>
      </xdr:txBody>
    </xdr:sp>
    <xdr:clientData/>
  </xdr:twoCellAnchor>
  <xdr:twoCellAnchor>
    <xdr:from>
      <xdr:col>1</xdr:col>
      <xdr:colOff>503464</xdr:colOff>
      <xdr:row>110</xdr:row>
      <xdr:rowOff>40821</xdr:rowOff>
    </xdr:from>
    <xdr:to>
      <xdr:col>4</xdr:col>
      <xdr:colOff>435428</xdr:colOff>
      <xdr:row>126</xdr:row>
      <xdr:rowOff>0</xdr:rowOff>
    </xdr:to>
    <xdr:sp macro="" textlink="">
      <xdr:nvSpPr>
        <xdr:cNvPr id="19" name="Rectangle 18">
          <a:extLst>
            <a:ext uri="{FF2B5EF4-FFF2-40B4-BE49-F238E27FC236}">
              <a16:creationId xmlns:a16="http://schemas.microsoft.com/office/drawing/2014/main" id="{6595B46F-78E6-82CB-5EF5-B8E0F85F3954}"/>
            </a:ext>
          </a:extLst>
        </xdr:cNvPr>
        <xdr:cNvSpPr/>
      </xdr:nvSpPr>
      <xdr:spPr>
        <a:xfrm>
          <a:off x="1183821" y="25445357"/>
          <a:ext cx="1973036" cy="3878036"/>
        </a:xfrm>
        <a:prstGeom prst="rect">
          <a:avLst/>
        </a:prstGeom>
        <a:noFill/>
        <a:ln w="57150">
          <a:solidFill>
            <a:schemeClr val="accent5">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chemeClr val="accent5">
                  <a:lumMod val="60000"/>
                  <a:lumOff val="40000"/>
                </a:schemeClr>
              </a:solidFill>
            </a:rPr>
            <a:t>⑤ トラバース表</a:t>
          </a:r>
        </a:p>
      </xdr:txBody>
    </xdr:sp>
    <xdr:clientData/>
  </xdr:twoCellAnchor>
  <xdr:twoCellAnchor>
    <xdr:from>
      <xdr:col>12</xdr:col>
      <xdr:colOff>329291</xdr:colOff>
      <xdr:row>116</xdr:row>
      <xdr:rowOff>152400</xdr:rowOff>
    </xdr:from>
    <xdr:to>
      <xdr:col>15</xdr:col>
      <xdr:colOff>353785</xdr:colOff>
      <xdr:row>122</xdr:row>
      <xdr:rowOff>13607</xdr:rowOff>
    </xdr:to>
    <xdr:sp macro="" textlink="">
      <xdr:nvSpPr>
        <xdr:cNvPr id="20" name="Rectangle 19">
          <a:extLst>
            <a:ext uri="{FF2B5EF4-FFF2-40B4-BE49-F238E27FC236}">
              <a16:creationId xmlns:a16="http://schemas.microsoft.com/office/drawing/2014/main" id="{369118CA-530A-44B0-88D4-1E8964BFE4C9}"/>
            </a:ext>
          </a:extLst>
        </xdr:cNvPr>
        <xdr:cNvSpPr/>
      </xdr:nvSpPr>
      <xdr:spPr>
        <a:xfrm>
          <a:off x="8493577" y="27026507"/>
          <a:ext cx="2065565" cy="1330779"/>
        </a:xfrm>
        <a:prstGeom prst="rect">
          <a:avLst/>
        </a:prstGeom>
        <a:noFill/>
        <a:ln w="57150">
          <a:solidFill>
            <a:schemeClr val="accent5">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chemeClr val="accent5">
                  <a:lumMod val="60000"/>
                  <a:lumOff val="40000"/>
                </a:schemeClr>
              </a:solidFill>
            </a:rPr>
            <a:t>⑥ 改正値（手動時）</a:t>
          </a:r>
        </a:p>
      </xdr:txBody>
    </xdr:sp>
    <xdr:clientData/>
  </xdr:twoCellAnchor>
  <xdr:twoCellAnchor editAs="oneCell">
    <xdr:from>
      <xdr:col>1</xdr:col>
      <xdr:colOff>0</xdr:colOff>
      <xdr:row>156</xdr:row>
      <xdr:rowOff>0</xdr:rowOff>
    </xdr:from>
    <xdr:to>
      <xdr:col>21</xdr:col>
      <xdr:colOff>353786</xdr:colOff>
      <xdr:row>195</xdr:row>
      <xdr:rowOff>232245</xdr:rowOff>
    </xdr:to>
    <xdr:pic>
      <xdr:nvPicPr>
        <xdr:cNvPr id="21" name="Picture 20">
          <a:extLst>
            <a:ext uri="{FF2B5EF4-FFF2-40B4-BE49-F238E27FC236}">
              <a16:creationId xmlns:a16="http://schemas.microsoft.com/office/drawing/2014/main" id="{C9B763F2-E720-5C32-4298-E832731347E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80357" y="36671250"/>
          <a:ext cx="13960929" cy="97844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7.bin"/><Relationship Id="rId1" Type="http://schemas.openxmlformats.org/officeDocument/2006/relationships/hyperlink" Target="https://verymicrosoft.com/products/sun-sigh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664CD-3019-4842-B0CE-E10672F301C7}">
  <dimension ref="A1:X33"/>
  <sheetViews>
    <sheetView zoomScale="85" zoomScaleNormal="85" workbookViewId="0">
      <selection sqref="A1:X33"/>
    </sheetView>
  </sheetViews>
  <sheetFormatPr defaultRowHeight="18.75" x14ac:dyDescent="0.4"/>
  <cols>
    <col min="1" max="24" width="7.75" customWidth="1"/>
  </cols>
  <sheetData>
    <row r="1" spans="1:24" ht="37.5" customHeight="1" x14ac:dyDescent="0.4">
      <c r="A1" s="71" t="s">
        <v>138</v>
      </c>
      <c r="B1" s="72"/>
      <c r="C1" s="72"/>
      <c r="D1" s="72"/>
      <c r="E1" s="72"/>
      <c r="F1" s="72"/>
      <c r="G1" s="72"/>
      <c r="H1" s="72"/>
      <c r="I1" s="72"/>
      <c r="J1" s="72"/>
      <c r="K1" s="72"/>
      <c r="L1" s="72"/>
      <c r="M1" s="72"/>
      <c r="N1" s="72"/>
      <c r="O1" s="72"/>
      <c r="P1" s="72"/>
      <c r="Q1" s="72"/>
      <c r="R1" s="72"/>
      <c r="S1" s="72"/>
      <c r="T1" s="72"/>
      <c r="U1" s="72"/>
      <c r="V1" s="72"/>
      <c r="W1" s="72"/>
      <c r="X1" s="72"/>
    </row>
    <row r="2" spans="1:24" ht="19.5" thickBot="1" x14ac:dyDescent="0.45">
      <c r="A2" s="73" t="s">
        <v>146</v>
      </c>
      <c r="B2" s="73"/>
      <c r="C2" s="73"/>
      <c r="D2" s="73"/>
      <c r="E2" s="73"/>
      <c r="F2" s="73"/>
      <c r="G2" s="73"/>
      <c r="H2" s="73"/>
      <c r="I2" s="73"/>
      <c r="J2" s="73"/>
      <c r="K2" s="73"/>
      <c r="L2" s="73"/>
      <c r="M2" s="73"/>
      <c r="N2" s="73"/>
      <c r="O2" s="73"/>
      <c r="P2" s="73"/>
      <c r="Q2" s="73"/>
      <c r="R2" s="73"/>
      <c r="S2" s="73"/>
      <c r="T2" s="73"/>
      <c r="U2" s="73"/>
      <c r="V2" s="73"/>
      <c r="W2" s="73"/>
      <c r="X2" s="73"/>
    </row>
    <row r="3" spans="1:24" ht="19.5" thickBot="1" x14ac:dyDescent="0.45">
      <c r="A3" s="76"/>
      <c r="B3" s="130" t="s">
        <v>0</v>
      </c>
      <c r="C3" s="2" t="s">
        <v>177</v>
      </c>
      <c r="D3" s="74" t="s">
        <v>1</v>
      </c>
      <c r="E3" s="3">
        <v>2</v>
      </c>
      <c r="F3" s="74" t="s">
        <v>2</v>
      </c>
      <c r="G3" s="2">
        <v>5</v>
      </c>
      <c r="H3" s="74" t="s">
        <v>3</v>
      </c>
      <c r="I3" s="4" t="s">
        <v>4</v>
      </c>
      <c r="J3" s="74" t="s">
        <v>5</v>
      </c>
      <c r="K3" s="74"/>
      <c r="L3" s="74"/>
      <c r="M3" s="74"/>
      <c r="N3" s="75"/>
      <c r="O3" s="76"/>
      <c r="P3" s="76"/>
      <c r="Q3" s="76"/>
      <c r="R3" s="76"/>
      <c r="S3" s="76"/>
      <c r="T3" s="76"/>
      <c r="U3" s="76"/>
      <c r="V3" s="76"/>
      <c r="W3" s="76"/>
      <c r="X3" s="76"/>
    </row>
    <row r="4" spans="1:24" ht="20.25" thickTop="1" thickBot="1" x14ac:dyDescent="0.45">
      <c r="A4" s="76"/>
      <c r="B4" s="97" t="str">
        <f>" N/"&amp;G3-1&amp;" POSN"</f>
        <v xml:space="preserve"> N/4 POSN</v>
      </c>
      <c r="C4" s="98"/>
      <c r="D4" s="77"/>
      <c r="E4" s="77"/>
      <c r="F4" s="77"/>
      <c r="G4" s="77"/>
      <c r="H4" s="77"/>
      <c r="I4" s="77" t="s">
        <v>6</v>
      </c>
      <c r="J4" s="77"/>
      <c r="K4" s="77"/>
      <c r="L4" s="77"/>
      <c r="M4" s="77"/>
      <c r="N4" s="78"/>
      <c r="O4" s="76"/>
      <c r="P4" s="79" t="s">
        <v>7</v>
      </c>
      <c r="Q4" s="80"/>
      <c r="R4" s="81"/>
      <c r="S4" s="76"/>
      <c r="T4" s="76"/>
      <c r="U4" s="76"/>
      <c r="V4" s="76"/>
      <c r="W4" s="76"/>
      <c r="X4" s="76"/>
    </row>
    <row r="5" spans="1:24" ht="19.5" thickTop="1" x14ac:dyDescent="0.4">
      <c r="A5" s="76"/>
      <c r="B5" s="99" t="s">
        <v>8</v>
      </c>
      <c r="C5" s="69">
        <v>5</v>
      </c>
      <c r="D5" s="82" t="s">
        <v>9</v>
      </c>
      <c r="E5" s="69">
        <v>11</v>
      </c>
      <c r="F5" s="96" t="s">
        <v>10</v>
      </c>
      <c r="G5" s="70" t="s">
        <v>11</v>
      </c>
      <c r="H5" s="94" t="s">
        <v>12</v>
      </c>
      <c r="I5" s="82" t="s">
        <v>8</v>
      </c>
      <c r="J5" s="82">
        <f>ABS(TRUNC(G21))</f>
        <v>6</v>
      </c>
      <c r="K5" s="82" t="s">
        <v>9</v>
      </c>
      <c r="L5" s="83">
        <f>ABS((G21-J5)*60)</f>
        <v>45.313941331849961</v>
      </c>
      <c r="M5" s="82" t="s">
        <v>10</v>
      </c>
      <c r="N5" s="84" t="str">
        <f>IF(G21&gt;=0,"N","S")</f>
        <v>N</v>
      </c>
      <c r="O5" s="76"/>
      <c r="P5" s="85" t="s">
        <v>13</v>
      </c>
      <c r="Q5" s="76"/>
      <c r="R5" s="86">
        <f>IF(AND(T10=TRUE,T11=TRUE),(L29+T24+W24)/3,IF(AND(T10=TRUE,T11=FALSE),(L29+T24)/2,
    IF(AND(T10=FALSE,T11=TRUE),(L29+W24)/2,L29)))</f>
        <v>2.7727758783717604</v>
      </c>
      <c r="S5" s="76"/>
      <c r="T5" s="76"/>
      <c r="U5" s="76"/>
      <c r="V5" s="76"/>
      <c r="W5" s="76"/>
      <c r="X5" s="76"/>
    </row>
    <row r="6" spans="1:24" ht="19.5" thickBot="1" x14ac:dyDescent="0.45">
      <c r="A6" s="76"/>
      <c r="B6" s="100" t="s">
        <v>14</v>
      </c>
      <c r="C6" s="7">
        <v>110</v>
      </c>
      <c r="D6" s="87" t="s">
        <v>9</v>
      </c>
      <c r="E6" s="7">
        <v>55</v>
      </c>
      <c r="F6" s="87" t="s">
        <v>10</v>
      </c>
      <c r="G6" s="8" t="s">
        <v>15</v>
      </c>
      <c r="H6" s="95"/>
      <c r="I6" s="87" t="s">
        <v>14</v>
      </c>
      <c r="J6" s="87">
        <f>ABS(TRUNC(G22))</f>
        <v>114</v>
      </c>
      <c r="K6" s="87" t="s">
        <v>9</v>
      </c>
      <c r="L6" s="88">
        <f>ABS((G22-J6)*60)</f>
        <v>10.502390060213145</v>
      </c>
      <c r="M6" s="87" t="s">
        <v>10</v>
      </c>
      <c r="N6" s="89" t="str">
        <f>IF(G22&gt;=0,"E","W")</f>
        <v>E</v>
      </c>
      <c r="O6" s="76"/>
      <c r="P6" s="90" t="s">
        <v>16</v>
      </c>
      <c r="Q6" s="91"/>
      <c r="R6" s="92">
        <f>P32</f>
        <v>114.19562344084007</v>
      </c>
      <c r="S6" s="76"/>
      <c r="T6" s="76"/>
      <c r="U6" s="76"/>
      <c r="V6" s="76"/>
      <c r="W6" s="76"/>
      <c r="X6" s="76"/>
    </row>
    <row r="7" spans="1:24" ht="19.5" thickBot="1" x14ac:dyDescent="0.45">
      <c r="A7" s="76"/>
      <c r="B7" s="76"/>
      <c r="C7" s="76"/>
      <c r="D7" s="76"/>
      <c r="E7" s="76"/>
      <c r="F7" s="76"/>
      <c r="G7" s="76"/>
      <c r="H7" s="110"/>
      <c r="I7" s="76"/>
      <c r="J7" s="76"/>
      <c r="K7" s="76"/>
      <c r="L7" s="93"/>
      <c r="M7" s="76"/>
      <c r="N7" s="76"/>
      <c r="O7" s="76"/>
      <c r="P7" s="76"/>
      <c r="Q7" s="76"/>
      <c r="R7" s="76"/>
      <c r="S7" s="76"/>
      <c r="T7" s="76"/>
      <c r="U7" s="76"/>
      <c r="V7" s="76"/>
      <c r="W7" s="76"/>
      <c r="X7" s="76"/>
    </row>
    <row r="8" spans="1:24" ht="19.5" thickBot="1" x14ac:dyDescent="0.45">
      <c r="A8" s="76"/>
      <c r="B8" s="76" t="s">
        <v>180</v>
      </c>
      <c r="C8" s="10">
        <v>27.6</v>
      </c>
      <c r="D8" s="76" t="s">
        <v>181</v>
      </c>
      <c r="E8" s="10">
        <v>1008.3</v>
      </c>
      <c r="F8" s="76" t="s">
        <v>182</v>
      </c>
      <c r="G8" s="11">
        <v>7</v>
      </c>
      <c r="H8" s="110"/>
      <c r="I8" s="129"/>
      <c r="J8" s="106" t="s">
        <v>19</v>
      </c>
      <c r="K8" s="107"/>
      <c r="L8" s="107"/>
      <c r="M8" s="107"/>
      <c r="N8" s="107"/>
      <c r="O8" s="108"/>
      <c r="P8" s="106" t="s">
        <v>20</v>
      </c>
      <c r="Q8" s="107"/>
      <c r="R8" s="107"/>
      <c r="S8" s="108"/>
      <c r="T8" s="76"/>
      <c r="U8" s="76"/>
      <c r="V8" s="76"/>
      <c r="W8" s="76"/>
      <c r="X8" s="76"/>
    </row>
    <row r="9" spans="1:24" x14ac:dyDescent="0.4">
      <c r="A9" s="76"/>
      <c r="B9" s="76"/>
      <c r="C9" s="76"/>
      <c r="D9" s="76"/>
      <c r="E9" s="111"/>
      <c r="F9" s="76"/>
      <c r="G9" s="76"/>
      <c r="H9" s="110"/>
      <c r="I9" s="134" t="s">
        <v>21</v>
      </c>
      <c r="J9" s="12">
        <v>0</v>
      </c>
      <c r="K9" s="135" t="s">
        <v>22</v>
      </c>
      <c r="L9" s="13">
        <v>31</v>
      </c>
      <c r="M9" s="136" t="s">
        <v>23</v>
      </c>
      <c r="N9" s="14">
        <v>31</v>
      </c>
      <c r="O9" s="138" t="s">
        <v>24</v>
      </c>
      <c r="P9" s="15">
        <v>24</v>
      </c>
      <c r="Q9" s="137" t="s">
        <v>9</v>
      </c>
      <c r="R9" s="16">
        <v>40.299999999999997</v>
      </c>
      <c r="S9" s="139" t="s">
        <v>10</v>
      </c>
      <c r="T9" s="5"/>
      <c r="U9" s="76"/>
      <c r="V9" s="76"/>
      <c r="W9" s="76"/>
      <c r="X9" s="76"/>
    </row>
    <row r="10" spans="1:24" x14ac:dyDescent="0.4">
      <c r="A10" s="76"/>
      <c r="B10" s="76"/>
      <c r="C10" s="76"/>
      <c r="D10" s="76"/>
      <c r="E10" s="111"/>
      <c r="F10" s="76"/>
      <c r="G10" s="76"/>
      <c r="H10" s="110"/>
      <c r="I10" s="104" t="s">
        <v>25</v>
      </c>
      <c r="J10" s="17">
        <v>0</v>
      </c>
      <c r="K10" s="135" t="s">
        <v>22</v>
      </c>
      <c r="L10" s="18">
        <v>31</v>
      </c>
      <c r="M10" s="135" t="s">
        <v>23</v>
      </c>
      <c r="N10" s="18">
        <v>44</v>
      </c>
      <c r="O10" s="140" t="s">
        <v>24</v>
      </c>
      <c r="P10" s="5">
        <v>24</v>
      </c>
      <c r="Q10" s="76" t="s">
        <v>9</v>
      </c>
      <c r="R10" s="10">
        <v>34.1</v>
      </c>
      <c r="S10" s="141" t="s">
        <v>10</v>
      </c>
      <c r="T10" s="172" t="b">
        <v>1</v>
      </c>
      <c r="U10" s="76"/>
      <c r="V10" s="76"/>
      <c r="W10" s="76"/>
      <c r="X10" s="76"/>
    </row>
    <row r="11" spans="1:24" ht="19.5" thickBot="1" x14ac:dyDescent="0.45">
      <c r="A11" s="76"/>
      <c r="B11" s="76"/>
      <c r="C11" s="76"/>
      <c r="D11" s="76"/>
      <c r="E11" s="76"/>
      <c r="F11" s="76"/>
      <c r="G11" s="76"/>
      <c r="H11" s="76"/>
      <c r="I11" s="105" t="s">
        <v>26</v>
      </c>
      <c r="J11" s="19">
        <v>0</v>
      </c>
      <c r="K11" s="142" t="s">
        <v>22</v>
      </c>
      <c r="L11" s="20">
        <v>32</v>
      </c>
      <c r="M11" s="142" t="s">
        <v>23</v>
      </c>
      <c r="N11" s="20">
        <v>0</v>
      </c>
      <c r="O11" s="144" t="s">
        <v>24</v>
      </c>
      <c r="P11" s="21">
        <v>24</v>
      </c>
      <c r="Q11" s="143" t="s">
        <v>9</v>
      </c>
      <c r="R11" s="22">
        <v>36.1</v>
      </c>
      <c r="S11" s="145" t="s">
        <v>10</v>
      </c>
      <c r="T11" s="172" t="b">
        <v>1</v>
      </c>
      <c r="U11" s="76"/>
      <c r="V11" s="76"/>
      <c r="W11" s="76"/>
      <c r="X11" s="76"/>
    </row>
    <row r="12" spans="1:24" ht="19.5" thickBot="1" x14ac:dyDescent="0.45">
      <c r="A12" s="76"/>
      <c r="B12" s="76"/>
      <c r="C12" s="76"/>
      <c r="D12" s="76"/>
      <c r="E12" s="76"/>
      <c r="F12" s="76"/>
      <c r="G12" s="76"/>
      <c r="H12" s="76"/>
      <c r="I12" s="110"/>
      <c r="J12" s="76"/>
      <c r="K12" s="76"/>
      <c r="L12" s="111"/>
      <c r="M12" s="76"/>
      <c r="N12" s="76"/>
      <c r="O12" s="76"/>
      <c r="P12" s="76"/>
      <c r="Q12" s="76"/>
      <c r="R12" s="76"/>
      <c r="S12" s="76"/>
      <c r="T12" s="76"/>
      <c r="U12" s="76"/>
      <c r="V12" s="76"/>
      <c r="W12" s="76"/>
      <c r="X12" s="76"/>
    </row>
    <row r="13" spans="1:24" ht="19.5" thickBot="1" x14ac:dyDescent="0.45">
      <c r="A13" s="76"/>
      <c r="B13" s="106" t="s">
        <v>27</v>
      </c>
      <c r="C13" s="107"/>
      <c r="D13" s="108"/>
      <c r="E13" s="76"/>
      <c r="F13" s="76"/>
      <c r="G13" s="76"/>
      <c r="H13" s="76"/>
      <c r="I13" s="175" t="s">
        <v>19</v>
      </c>
      <c r="J13" s="182" t="s">
        <v>28</v>
      </c>
      <c r="K13" s="183"/>
      <c r="L13" s="183"/>
      <c r="M13" s="183"/>
      <c r="N13" s="183"/>
      <c r="O13" s="183"/>
      <c r="P13" s="183"/>
      <c r="Q13" s="183"/>
      <c r="R13" s="184"/>
      <c r="S13" s="76"/>
      <c r="T13" s="76"/>
      <c r="U13" s="76"/>
      <c r="V13" s="76"/>
      <c r="W13" s="76"/>
      <c r="X13" s="76"/>
    </row>
    <row r="14" spans="1:24" ht="19.5" thickBot="1" x14ac:dyDescent="0.45">
      <c r="A14" s="76"/>
      <c r="B14" s="102" t="s">
        <v>29</v>
      </c>
      <c r="C14" s="109" t="s">
        <v>30</v>
      </c>
      <c r="D14" s="102" t="s">
        <v>31</v>
      </c>
      <c r="E14" s="76"/>
      <c r="F14" s="112" t="s">
        <v>32</v>
      </c>
      <c r="G14" s="113">
        <f>(COS(RADIANS(C15))*D15)+(COS(RADIANS(C16))*D16)+(COS(RADIANS(C17))*D17)+(COS(RADIANS(C18))*D18)+(COS(RADIANS(C19))*D19)+(COS(RADIANS(C20))*D20)+(COS(RADIANS(C21))*D21)+(COS(RADIANS(C22))*D22)+(COS(RADIANS(C23))*D23)+(COS(RADIANS(C24))*D24)+(COS(RADIANS(C25))*D25)+(COS(RADIANS(C26))*D26)+(COS(RADIANS(C27))*D27)+(COS(RADIANS(C28))*D28)+(COS(RADIANS(C29))*D29)</f>
        <v>94.313941331849918</v>
      </c>
      <c r="H14" s="76"/>
      <c r="I14" s="176"/>
      <c r="J14" s="177" t="s">
        <v>33</v>
      </c>
      <c r="K14" s="178"/>
      <c r="L14" s="178"/>
      <c r="M14" s="181"/>
      <c r="N14" s="178" t="s">
        <v>34</v>
      </c>
      <c r="O14" s="178"/>
      <c r="P14" s="178"/>
      <c r="Q14" s="178"/>
      <c r="R14" s="179"/>
      <c r="S14" s="76"/>
      <c r="T14" s="76"/>
      <c r="U14" s="76"/>
      <c r="V14" s="76"/>
      <c r="W14" s="76"/>
      <c r="X14" s="76"/>
    </row>
    <row r="15" spans="1:24" x14ac:dyDescent="0.4">
      <c r="A15" s="76"/>
      <c r="B15" s="103">
        <v>1</v>
      </c>
      <c r="C15" s="23" t="s">
        <v>172</v>
      </c>
      <c r="D15" s="24">
        <v>72</v>
      </c>
      <c r="E15" s="76"/>
      <c r="F15" s="114" t="s">
        <v>35</v>
      </c>
      <c r="G15" s="115">
        <f>(SIN(RADIANS(C15))*D15)+(SIN(RADIANS(C16))*D16)+(SIN(RADIANS(C17))*D17)+(SIN(RADIANS(C18))*D18)+(SIN(RADIANS(C19))*D19)+(SIN(RADIANS(C20))*D20)+(SIN(RADIANS(C21))*D21)+(SIN(RADIANS(C22))*D22)+(SIN(RADIANS(C23))*D23)+(SIN(RADIANS(C24))*D24)+(SIN(RADIANS(C25))*D25)+(SIN(RADIANS(C26))*D26)+(SIN(RADIANS(C27))*D27)+(SIN(RADIANS(C28))*D28)+(SIN(RADIANS(C29))*D29)</f>
        <v>194.44233539232084</v>
      </c>
      <c r="H15" s="76"/>
      <c r="I15" s="189">
        <f>J9</f>
        <v>0</v>
      </c>
      <c r="J15" s="190">
        <v>176</v>
      </c>
      <c r="K15" s="191" t="s">
        <v>9</v>
      </c>
      <c r="L15" s="192">
        <v>53.1</v>
      </c>
      <c r="M15" s="191" t="s">
        <v>10</v>
      </c>
      <c r="N15" s="193" t="s">
        <v>36</v>
      </c>
      <c r="O15" s="194">
        <v>18</v>
      </c>
      <c r="P15" s="191" t="s">
        <v>9</v>
      </c>
      <c r="Q15" s="192">
        <v>42.2</v>
      </c>
      <c r="R15" s="195" t="s">
        <v>10</v>
      </c>
      <c r="S15" s="76"/>
      <c r="T15" s="146">
        <f>IF(N15="N",O15+Q15/60,(O15+Q15/60)*-1)</f>
        <v>-18.703333333333333</v>
      </c>
      <c r="U15" s="76"/>
      <c r="V15" s="76"/>
      <c r="W15" s="76"/>
      <c r="X15" s="76"/>
    </row>
    <row r="16" spans="1:24" ht="19.5" thickBot="1" x14ac:dyDescent="0.45">
      <c r="A16" s="76"/>
      <c r="B16" s="104">
        <v>2</v>
      </c>
      <c r="C16" s="25" t="s">
        <v>173</v>
      </c>
      <c r="D16" s="26">
        <v>56</v>
      </c>
      <c r="E16" s="76"/>
      <c r="F16" s="116" t="s">
        <v>37</v>
      </c>
      <c r="G16" s="117">
        <f>((G15/60)/(COS(RADIANS(G18+G21)/2)))*60</f>
        <v>195.50239006021272</v>
      </c>
      <c r="H16" s="76"/>
      <c r="I16" s="147">
        <f>I15+1</f>
        <v>1</v>
      </c>
      <c r="J16" s="174">
        <v>191</v>
      </c>
      <c r="K16" s="148" t="s">
        <v>9</v>
      </c>
      <c r="L16" s="28">
        <v>53.2</v>
      </c>
      <c r="M16" s="148" t="s">
        <v>10</v>
      </c>
      <c r="N16" s="180" t="s">
        <v>36</v>
      </c>
      <c r="O16" s="27">
        <v>18</v>
      </c>
      <c r="P16" s="149" t="s">
        <v>9</v>
      </c>
      <c r="Q16" s="28">
        <v>42.8</v>
      </c>
      <c r="R16" s="150" t="s">
        <v>10</v>
      </c>
      <c r="S16" s="76"/>
      <c r="T16" s="146">
        <f>IF(N16="N",O16+Q16/60,(O16+Q16/60)*-1)</f>
        <v>-18.713333333333335</v>
      </c>
      <c r="U16" s="76"/>
      <c r="V16" s="76"/>
      <c r="W16" s="76"/>
      <c r="X16" s="76"/>
    </row>
    <row r="17" spans="1:24" x14ac:dyDescent="0.4">
      <c r="A17" s="76"/>
      <c r="B17" s="104">
        <v>3</v>
      </c>
      <c r="C17" s="25" t="s">
        <v>174</v>
      </c>
      <c r="D17" s="26">
        <v>42</v>
      </c>
      <c r="E17" s="76"/>
      <c r="F17" s="76"/>
      <c r="G17" s="76"/>
      <c r="H17" s="76"/>
      <c r="I17" s="76"/>
      <c r="J17" s="76"/>
      <c r="K17" s="76"/>
      <c r="L17" s="76"/>
      <c r="M17" s="76"/>
      <c r="N17" s="76"/>
      <c r="O17" s="76"/>
      <c r="P17" s="76"/>
      <c r="Q17" s="76"/>
      <c r="R17" s="76"/>
      <c r="S17" s="151"/>
      <c r="T17" s="76"/>
      <c r="U17" s="76"/>
      <c r="V17" s="76"/>
      <c r="W17" s="76"/>
      <c r="X17" s="76"/>
    </row>
    <row r="18" spans="1:24" x14ac:dyDescent="0.4">
      <c r="A18" s="76"/>
      <c r="B18" s="104">
        <v>4</v>
      </c>
      <c r="C18" s="25" t="s">
        <v>175</v>
      </c>
      <c r="D18" s="26">
        <v>5</v>
      </c>
      <c r="E18" s="76"/>
      <c r="F18" s="76" t="s">
        <v>38</v>
      </c>
      <c r="G18" s="93">
        <f>IF(G5="N",C5+E5/60,(C5+E5/60)*-1)</f>
        <v>5.1833333333333336</v>
      </c>
      <c r="H18" s="76"/>
      <c r="I18" s="110" t="s">
        <v>19</v>
      </c>
      <c r="J18" s="76">
        <f>J9</f>
        <v>0</v>
      </c>
      <c r="K18" s="121" t="s">
        <v>39</v>
      </c>
      <c r="L18" s="122">
        <f>L9</f>
        <v>31</v>
      </c>
      <c r="M18" s="121" t="s">
        <v>40</v>
      </c>
      <c r="N18" s="76">
        <f>N9</f>
        <v>31</v>
      </c>
      <c r="O18" s="121" t="s">
        <v>41</v>
      </c>
      <c r="P18" s="76"/>
      <c r="Q18" s="76"/>
      <c r="R18" s="76"/>
      <c r="S18" s="152" t="s">
        <v>42</v>
      </c>
      <c r="T18" s="153"/>
      <c r="U18" s="154"/>
      <c r="V18" s="153" t="s">
        <v>26</v>
      </c>
      <c r="W18" s="155"/>
      <c r="X18" s="76"/>
    </row>
    <row r="19" spans="1:24" x14ac:dyDescent="0.4">
      <c r="A19" s="76"/>
      <c r="B19" s="104">
        <v>5</v>
      </c>
      <c r="C19" s="25" t="s">
        <v>176</v>
      </c>
      <c r="D19" s="26">
        <v>42.3</v>
      </c>
      <c r="E19" s="76"/>
      <c r="F19" s="76" t="s">
        <v>43</v>
      </c>
      <c r="G19" s="76">
        <f>IF(G6="E",C6+E6/60,(C6+E6/60)*-1)</f>
        <v>110.91666666666667</v>
      </c>
      <c r="H19" s="76"/>
      <c r="I19" s="110" t="s">
        <v>44</v>
      </c>
      <c r="J19" s="76">
        <f>TRUNC(G24)</f>
        <v>184</v>
      </c>
      <c r="K19" s="76" t="s">
        <v>9</v>
      </c>
      <c r="L19" s="111">
        <f>(G24-J19)*60</f>
        <v>45.902527777777209</v>
      </c>
      <c r="M19" s="76" t="s">
        <v>10</v>
      </c>
      <c r="N19" s="76"/>
      <c r="O19" s="76"/>
      <c r="P19" s="76"/>
      <c r="Q19" s="76"/>
      <c r="R19" s="76"/>
      <c r="S19" s="156" t="s">
        <v>45</v>
      </c>
      <c r="T19" s="76">
        <f>IF(T10=TRUE,(J10*3600+L10*60+N10)-(J9*3600+L9*60+N9),"")</f>
        <v>13</v>
      </c>
      <c r="U19" s="76"/>
      <c r="V19" s="110" t="s">
        <v>45</v>
      </c>
      <c r="W19" s="157">
        <f>IF(T11=TRUE,(J11*3600+L11*60+N11)-(J10*3600+L10*60+N10),"")</f>
        <v>16</v>
      </c>
      <c r="X19" s="76"/>
    </row>
    <row r="20" spans="1:24" ht="19.5" thickBot="1" x14ac:dyDescent="0.45">
      <c r="A20" s="76"/>
      <c r="B20" s="104">
        <v>6</v>
      </c>
      <c r="C20" s="25"/>
      <c r="D20" s="26"/>
      <c r="E20" s="76"/>
      <c r="F20" s="76"/>
      <c r="G20" s="76"/>
      <c r="H20" s="76"/>
      <c r="I20" s="118" t="s">
        <v>14</v>
      </c>
      <c r="J20" s="119">
        <f>J6</f>
        <v>114</v>
      </c>
      <c r="K20" s="119" t="s">
        <v>9</v>
      </c>
      <c r="L20" s="123">
        <f>L6</f>
        <v>10.502390060213145</v>
      </c>
      <c r="M20" s="119" t="s">
        <v>10</v>
      </c>
      <c r="N20" s="119"/>
      <c r="O20" s="119"/>
      <c r="P20" s="119"/>
      <c r="Q20" s="76"/>
      <c r="R20" s="76"/>
      <c r="S20" s="156"/>
      <c r="T20" s="158" t="s">
        <v>46</v>
      </c>
      <c r="U20" s="110"/>
      <c r="V20" s="110"/>
      <c r="W20" s="159" t="s">
        <v>46</v>
      </c>
      <c r="X20" s="76"/>
    </row>
    <row r="21" spans="1:24" ht="19.5" thickTop="1" x14ac:dyDescent="0.4">
      <c r="A21" s="76"/>
      <c r="B21" s="104">
        <v>7</v>
      </c>
      <c r="C21" s="25"/>
      <c r="D21" s="26"/>
      <c r="E21" s="76"/>
      <c r="F21" s="76" t="s">
        <v>47</v>
      </c>
      <c r="G21" s="93">
        <f>IF(G5="N",G18+(G14/60),(G18*-1)+(G14/60))</f>
        <v>6.7552323555308327</v>
      </c>
      <c r="H21" s="76"/>
      <c r="I21" s="110" t="s">
        <v>48</v>
      </c>
      <c r="J21" s="76">
        <f>TRUNC(G26)</f>
        <v>298</v>
      </c>
      <c r="K21" s="76" t="s">
        <v>9</v>
      </c>
      <c r="L21" s="111">
        <f>(G26-J21)*60</f>
        <v>56.404917837991206</v>
      </c>
      <c r="M21" s="76" t="s">
        <v>10</v>
      </c>
      <c r="N21" s="76"/>
      <c r="O21" s="76"/>
      <c r="P21" s="76"/>
      <c r="Q21" s="76"/>
      <c r="R21" s="76"/>
      <c r="S21" s="160"/>
      <c r="T21" s="111">
        <f>IF(T10=TRUE,SIN(RADIANS(P32))*COS(RADIANS(G21))*((T19)/4),"")</f>
        <v>2.9439117961424897</v>
      </c>
      <c r="U21" s="111"/>
      <c r="V21" s="76"/>
      <c r="W21" s="161">
        <f>IF(W19&lt;&gt;"",SIN(RADIANS(P32))*COS(RADIANS(G21))*((W19)/4),"")</f>
        <v>3.6232760567907563</v>
      </c>
      <c r="X21" s="76"/>
    </row>
    <row r="22" spans="1:24" x14ac:dyDescent="0.4">
      <c r="A22" s="76"/>
      <c r="B22" s="104">
        <v>8</v>
      </c>
      <c r="C22" s="25"/>
      <c r="D22" s="26"/>
      <c r="E22" s="76"/>
      <c r="F22" s="76" t="s">
        <v>49</v>
      </c>
      <c r="G22" s="93">
        <f>IF(G6="E",G19+(G16/60),(G19*-1)+(G16/60))</f>
        <v>114.17503983433689</v>
      </c>
      <c r="H22" s="76"/>
      <c r="I22" s="76"/>
      <c r="J22" s="76"/>
      <c r="K22" s="76"/>
      <c r="L22" s="76"/>
      <c r="M22" s="76"/>
      <c r="N22" s="76"/>
      <c r="O22" s="76"/>
      <c r="P22" s="76"/>
      <c r="Q22" s="76"/>
      <c r="R22" s="76"/>
      <c r="S22" s="156" t="s">
        <v>50</v>
      </c>
      <c r="T22" s="162">
        <f>IF(T10=TRUE,(J27+L27/60)+T21/60,"")</f>
        <v>24.563901711690203</v>
      </c>
      <c r="U22" s="76"/>
      <c r="V22" s="110" t="s">
        <v>50</v>
      </c>
      <c r="W22" s="163">
        <f>IF(W19&lt;&gt;"",T22+W21/60,"")</f>
        <v>24.624289645970048</v>
      </c>
      <c r="X22" s="76"/>
    </row>
    <row r="23" spans="1:24" ht="19.5" thickBot="1" x14ac:dyDescent="0.45">
      <c r="A23" s="76"/>
      <c r="B23" s="104">
        <v>9</v>
      </c>
      <c r="C23" s="25"/>
      <c r="D23" s="26"/>
      <c r="E23" s="76"/>
      <c r="F23" s="76"/>
      <c r="G23" s="76"/>
      <c r="H23" s="76"/>
      <c r="I23" s="110" t="s">
        <v>51</v>
      </c>
      <c r="J23" s="76">
        <f>TRUNC(G27)</f>
        <v>24</v>
      </c>
      <c r="K23" s="76" t="s">
        <v>9</v>
      </c>
      <c r="L23" s="111">
        <f>(G27-J23)*60</f>
        <v>40.290190905269938</v>
      </c>
      <c r="M23" s="76" t="s">
        <v>10</v>
      </c>
      <c r="N23" s="76"/>
      <c r="O23" s="164" t="s">
        <v>52</v>
      </c>
      <c r="P23" s="164"/>
      <c r="Q23" s="76"/>
      <c r="R23" s="76"/>
      <c r="S23" s="165" t="s">
        <v>20</v>
      </c>
      <c r="T23" s="166">
        <f>IF(T19&lt;&gt;"",P10+R10/60,"")</f>
        <v>24.568333333333335</v>
      </c>
      <c r="U23" s="76"/>
      <c r="V23" s="132" t="s">
        <v>20</v>
      </c>
      <c r="W23" s="167">
        <f>IF(W19&lt;&gt;"",P11+R11/60,"")</f>
        <v>24.601666666666667</v>
      </c>
      <c r="X23" s="76"/>
    </row>
    <row r="24" spans="1:24" x14ac:dyDescent="0.4">
      <c r="A24" s="76"/>
      <c r="B24" s="104">
        <v>10</v>
      </c>
      <c r="C24" s="25"/>
      <c r="D24" s="26"/>
      <c r="E24" s="76"/>
      <c r="F24" s="76" t="s">
        <v>44</v>
      </c>
      <c r="G24" s="76">
        <f>(J15+L15/60)+(((J16+L16/60)-(J15+L15/60))/60)*(L9+N9/60)</f>
        <v>184.76504212962962</v>
      </c>
      <c r="H24" s="76"/>
      <c r="I24" s="110" t="s">
        <v>53</v>
      </c>
      <c r="J24" s="76"/>
      <c r="K24" s="110" t="s">
        <v>54</v>
      </c>
      <c r="L24" s="76">
        <f>IF(O24=TRUE,P24,IF(OR(E3=4,E3=5,E3=6,E3=7,E3=8,E3=9,E3=10),
IF($G$27&lt;'A2'!E6,'A2'!F6,
IF($G$27&lt;'A2'!E7,'A2'!F7,
IF($G$27&lt;'A2'!E8,'A2'!F8,
IF($G$27&lt;'A2'!E9,'A2'!F9,
IF($G$27&lt;'A2'!E10,'A2'!F10,
IF($G$27&lt;'A2'!E11,'A2'!F11,
IF($G$27&lt;'A2'!E12,'A2'!F12,
IF($G$27&lt;'A2'!E13,'A2'!F13,
IF($G$27&lt;'A2'!E14,'A2'!F14,
IF($G$27&lt;'A2'!E15,'A2'!F15,
IF($G$27&lt;'A2'!E16,'A2'!F16,
IF($G$27&lt;'A2'!E17,'A2'!F17,
IF($G$27&lt;'A2'!E18,'A2'!F18,
IF($G$27&lt;'A2'!E19,'A2'!F19,
IF($G$27&lt;'A2'!E20,'A2'!F20,
IF($G$27&lt;'A2'!E21,'A2'!F21,
IF($G$27&lt;'A2'!E22,'A2'!F22,
IF($G$27&lt;'A2'!E23,'A2'!F23,
IF($G$27&lt;'A2'!E24,'A2'!F24,
IF($G$27&lt;'A2'!E25,'A2'!F25,
IF($G$27&lt;'A2'!E26,'A2'!F26,
IF($G$27&lt;'A2'!E27,'A2'!F27,
IF($G$27&lt;'A2'!E28,'A2'!F28,
IF($G$27&lt;'A2'!E29,'A2'!F29,
IF($G$27&lt;'A2'!E30,'A2'!F30,
IF($G$27&lt;'A2'!E31,'A2'!F31,IF($G$27&lt;'A2'!E32,'A2'!F32,IF($G$27&lt;'A2'!E33,'A2'!F33,IF($G$27&lt;'A2'!E34,'A2'!F34,IF($G$27&lt;'A2'!E35,'A2'!F35,IF($G$27&lt;'A2'!E36,'A2'!F36,IF($G$27&lt;'A2'!E37,'A2'!F37,IF($G$27&lt;'A2'!E38,'A2'!F38,IF($G$27&lt;'A2'!E39,'A2'!F39,IF($G$27&lt;'A2'!E40,'A2'!F40,IF($G$27&lt;'A2'!E41,'A2'!F41,IF($G$27&lt;'A2'!E42,'A2'!F42,IF($G$27&lt;'A2'!E43,'A2'!F43,IF($G$27&lt;'A2'!E44,'A2'!F44,IF($G$27&lt;'A2'!E45,'A2'!F45,IF($G$27&lt;'A2'!E46,'A2'!F46,IF($G$27&lt;'A2'!E47,'A2'!F47,IF($G$27&lt;'A2'!E48,'A2'!F48,IF($G$27&lt;'A2'!E49,'A2'!F49,IF($G$27&lt;'A2'!E50,'A2'!F50,IF($G$27&lt;'A2'!E51,'A2'!F51,IF($G$27&lt;'A2'!E52,'A2'!F52,IF($G$27&lt;'A2'!E53,'A2'!F53,IF($G$27&lt;'A2'!E54,'A2'!F54,IF($G$27&lt;'A2'!E55,'A2'!F55,IF($G$27&lt;'A2'!E56,'A2'!F56,IF($G$27&lt;'A2'!E57,'A2'!F57,IF($G$27&lt;'A2'!E58,'A2'!F58,IF($G$27&lt;'A2'!E59,'A2'!F59,IF($G$27&lt;'A2'!E60,'A2'!F60))))))))))))))))))))))))))))))))))))))))))))))))))))))),IF($G$27&lt;'A2'!B6,'A2'!C6,IF($G$27&lt;'A2'!B7,'A2'!C7,IF($G$27&lt;'A2'!B8,'A2'!C8,IF($G$27&lt;'A2'!B9,'A2'!C9,IF($G$27&lt;'A2'!B10,'A2'!C10,IF($G$27&lt;'A2'!B11,'A2'!C11,IF($G$27&lt;'A2'!B12,'A2'!C12,IF($G$27&lt;'A2'!B13,'A2'!C13,IF($G$27&lt;'A2'!B14,'A2'!C14,IF($G$27&lt;'A2'!B15,'A2'!C15,IF($G$27&lt;'A2'!B16,'A2'!C16,IF($G$27&lt;'A2'!B17,'A2'!C17,IF($G$27&lt;'A2'!B18,'A2'!C18,IF($G$27&lt;'A2'!B19,'A2'!C19,IF($G$27&lt;'A2'!B20,'A2'!C20,IF($G$27&lt;'A2'!B21,'A2'!C21,IF($G$27&lt;'A2'!B22,'A2'!C22,IF($G$27&lt;'A2'!B23,'A2'!C23,IF($G$27&lt;'A2'!B24,'A2'!C24,IF($G$27&lt;'A2'!B25,'A2'!C25,IF($G$27&lt;'A2'!B26,'A2'!C26,IF($G$27&lt;'A2'!B27,'A2'!C27,IF($G$27&lt;'A2'!B28,'A2'!C28,IF($G$27&lt;'A2'!B29,'A2'!C29,IF($G$27&lt;'A2'!B30,'A2'!C30,IF($G$27&lt;'A2'!B31,'A2'!C31,IF($G$27&lt;'A2'!B32,'A2'!C32,IF($G$27&lt;'A2'!B33,'A2'!C33,IF($G$27&lt;'A2'!B34,'A2'!C34,IF($G$27&lt;'A2'!B35,'A2'!C35,IF($G$27&lt;'A2'!B36,'A2'!C36,IF($G$27&lt;'A2'!B37,'A2'!C37,IF($G$27&lt;'A2'!B38,'A2'!C38,IF($G$27&lt;'A2'!B39,'A2'!C39,IF($G$27&lt;'A2'!B40,'A2'!C40,IF($G$27&lt;'A2'!B41,'A2'!C41,IF($G$27&lt;'A2'!B42,'A2'!C42,IF($G$27&lt;'A2'!B43,'A2'!C43,IF($G$27&lt;'A2'!B44,'A2'!C44,IF($G$27&lt;'A2'!B45,'A2'!C45,IF($G$27&lt;'A2'!B46,'A2'!C46,IF($G$27&lt;'A2'!B47,'A2'!C47,IF($G$27&lt;'A2'!B48,'A2'!C48,IF($G$27&lt;'A2'!B49,'A2'!C49,IF($G$27&lt;'A2'!B50,'A2'!C50,IF($G$27&lt;'A2'!B51,'A2'!C51,IF($G$27&lt;'A2'!B52,'A2'!C52,IF($G$27&lt;'A2'!B53,'A2'!C53,IF($G$27&lt;'A2'!B54,'A2'!C54,IF($G$27&lt;'A2'!B55,'A2'!C55,IF($G$27&lt;'A2'!B56,'A2'!C56,IF($G$27&lt;'A2'!B57,'A2'!C57,IF($G$27&lt;'A2'!B58,'A2'!C58,IF($G$27&lt;'A2'!B59,'A2'!C59,IF($G$27&lt;'A2'!B60,'A2'!C60)))))))))))))))))))))))))))))))))))))))))))))))))))))))))</f>
        <v>14.2</v>
      </c>
      <c r="M24" s="76"/>
      <c r="N24" s="76"/>
      <c r="O24" s="36" t="b">
        <v>0</v>
      </c>
      <c r="P24" s="10">
        <v>0</v>
      </c>
      <c r="Q24" s="76"/>
      <c r="R24" s="76"/>
      <c r="S24" s="168" t="s">
        <v>55</v>
      </c>
      <c r="T24" s="169">
        <f>IF(T19&lt;&gt;"",(T23-T22)*60,"")</f>
        <v>0.265897298587916</v>
      </c>
      <c r="U24" s="169"/>
      <c r="V24" s="170" t="s">
        <v>55</v>
      </c>
      <c r="W24" s="171">
        <f>IF(W19&lt;&gt;"",(W23-W22)*60,"")</f>
        <v>-1.3573787582028984</v>
      </c>
      <c r="X24" s="76"/>
    </row>
    <row r="25" spans="1:24" x14ac:dyDescent="0.4">
      <c r="A25" s="76"/>
      <c r="B25" s="104">
        <v>11</v>
      </c>
      <c r="C25" s="25"/>
      <c r="D25" s="26"/>
      <c r="E25" s="76"/>
      <c r="F25" s="76" t="s">
        <v>56</v>
      </c>
      <c r="G25" s="76">
        <f>T15+((T16-T15)/60)*(L9+N9/60)</f>
        <v>-18.70858611111111</v>
      </c>
      <c r="H25" s="76"/>
      <c r="I25" s="110" t="s">
        <v>57</v>
      </c>
      <c r="J25" s="76"/>
      <c r="K25" s="110" t="s">
        <v>58</v>
      </c>
      <c r="L25" s="111">
        <f>IF(O25=TRUE,P25,IF($G$8&lt;DIP!B5,DIP!C5,
IF($G$8&lt;DIP!B6,DIP!C6,
IF($G$8&lt;DIP!B7,DIP!C7,
IF($G$8&lt;DIP!B8,DIP!C8,
IF($G$8&lt;DIP!B9,DIP!C9,
IF($G$8&lt;DIP!B11,DIP!C11,
IF($G$8&lt;DIP!B12,DIP!C12,
IF($G$8&lt;DIP!B13,DIP!C13,
IF($G$8&lt;DIP!B14,DIP!C14,
IF($G$8&lt;DIP!B15,DIP!C15,
IF($G$8&lt;DIP!B16,DIP!C16,
IF($G$8&lt;DIP!B17,DIP!C17,
IF($G$8&lt;DIP!B18,DIP!C18,
IF($G$8&lt;DIP!B19,DIP!C19,
IF($G$8&lt;DIP!B20,DIP!C20,
IF($G$8&lt;DIP!B21,DIP!C21,
IF($G$8&lt;DIP!B22,DIP!C22,
IF($G$8&lt;DIP!B23,DIP!C23,
IF($G$8&lt;DIP!B24,DIP!C24,
IF($G$8&lt;DIP!B25,DIP!C25,
IF($G$8&lt;DIP!B26,DIP!C26,
IF($G$8&lt;DIP!B27,DIP!C27,
IF($G$8&lt;DIP!B28,DIP!C28,
IF($G$8&lt;DIP!B29,DIP!C29,
IF($G$8&lt;DIP!B30,DIP!C30,
IF($G$8&lt;DIP!B31,DIP!C31,
IF($G$8&lt;DIP!B32,DIP!C32,
IF($G$8&lt;DIP!B33,DIP!C33,
IF($G$8&lt;DIP!B34,DIP!C34,
IF($G$8&lt;DIP!B35,DIP!C35,
IF($G$8&lt;DIP!B36,DIP!C36,
IF($G$8&lt;DIP!B37,DIP!C37,
IF($G$8&lt;DIP!B38,DIP!C38,
IF($G$8&lt;DIP!B39,DIP!C39,
IF($G$8&lt;DIP!B40,DIP!C40,
IF($G$8&lt;DIP!B41,DIP!C41,
IF($G$8&lt;DIP!B42,DIP!C42,
IF($G$8&lt;DIP!B43,DIP!C43,
IF($G$8&lt;DIP!B44,DIP!C44,
IF($G$8&lt;DIP!B45,DIP!C45,
IF($G$8&lt;DIP!B46,DIP!C46,
IF($G$8&lt;DIP!B47,DIP!C47,
IF($G$8&lt;DIP!B48,DIP!C48,
IF($G$8&lt;DIP!B49,DIP!C49,
IF($G$8&lt;DIP!B50,DIP!C50,
IF($G$8&lt;DIP!B51,DIP!C51,
IF($G$8&lt;DIP!B52,DIP!C52,
IF($G$8&lt;DIP!B53,DIP!C53,
IF($G$8&lt;DIP!B54,DIP!C54,
IF($G$8&lt;DIP!B55,DIP!C55,
IF($G$8&lt;DIP!B56,DIP!C56,
IF($G$8&lt;DIP!B57,DIP!C57,
IF($G$8&lt;DIP!B58,DIP!C58,
)
)
)
)
)
)
)
)
)
)
)
)
)
)
)
)
)
)
)
)
)
)
)
)
)
)
)
)
)
)
)
)
)
)
)
)
)
)
)
)
)
)
)
)
)
)
)
)
)
)
)
)
))</f>
        <v>4.7</v>
      </c>
      <c r="M25" s="76"/>
      <c r="N25" s="76"/>
      <c r="O25" s="36" t="b">
        <v>0</v>
      </c>
      <c r="P25" s="10">
        <v>0</v>
      </c>
      <c r="Q25" s="76"/>
      <c r="R25" s="76"/>
      <c r="S25" s="76"/>
      <c r="T25" s="76"/>
      <c r="U25" s="76"/>
      <c r="V25" s="76"/>
      <c r="W25" s="76"/>
      <c r="X25" s="76"/>
    </row>
    <row r="26" spans="1:24" ht="19.5" thickBot="1" x14ac:dyDescent="0.45">
      <c r="A26" s="76"/>
      <c r="B26" s="104">
        <v>12</v>
      </c>
      <c r="C26" s="25"/>
      <c r="D26" s="26"/>
      <c r="E26" s="76"/>
      <c r="F26" s="76" t="s">
        <v>48</v>
      </c>
      <c r="G26" s="76">
        <f>(J19+(L19/60))+(J20+(L20/60))</f>
        <v>298.94008196396652</v>
      </c>
      <c r="H26" s="76"/>
      <c r="I26" s="118" t="s">
        <v>59</v>
      </c>
      <c r="J26" s="119"/>
      <c r="K26" s="118" t="str">
        <f>IF('A4'!AF3&gt;0,"-","+")</f>
        <v>+</v>
      </c>
      <c r="L26" s="124">
        <f>IF(O26=TRUE,P26,ABS('A4'!AF3))</f>
        <v>0.1</v>
      </c>
      <c r="M26" s="119"/>
      <c r="N26" s="119" t="str">
        <f>IF(E8&gt;(5.9*C8+177)+970,"A",
  IF(E8&gt;(5.9*C8+141.6)+970,"B",
   IF(E8&gt;(5.9*C8+113.28)+970,"C",
    IF(E8&gt;(5.9*C8+55.46)+970,"D",
     IF(E8&gt;(5.9*C8+26.55)+970,"E",
      IF(E8&gt;(5.9*C8-2.95)+970,"F",
       IF(E8&gt;(5.9*C8-32.45)+970,"G",
        IF(E8&gt;(5.9*C8-61.95)+970,"H",
         IF(E8&gt;(5.9*C8-97.35)+970,"J",
          IF(E8&gt;(5.9*C8-120.95)+970,"K",
           IF(E8&gt;(5.9*C8-151.04)+970,"L",
            IF(E8&gt;(5.9*C8-182.31)+970,"M",
             IF(E8&gt;(5.9*C8-213.58)+970,"N","P"
             )
            )
           )
          )
         )
        )
       )
      )
     )
    )
   )
  )
 )</f>
        <v>L</v>
      </c>
      <c r="O26" s="120" t="b">
        <v>0</v>
      </c>
      <c r="P26" s="30">
        <v>0</v>
      </c>
      <c r="Q26" s="76"/>
      <c r="R26" s="76"/>
      <c r="S26" s="76"/>
      <c r="T26" s="76"/>
      <c r="U26" s="76"/>
      <c r="V26" s="76"/>
      <c r="W26" s="76"/>
      <c r="X26" s="76"/>
    </row>
    <row r="27" spans="1:24" ht="19.5" thickTop="1" x14ac:dyDescent="0.4">
      <c r="A27" s="76"/>
      <c r="B27" s="104">
        <v>13</v>
      </c>
      <c r="C27" s="25"/>
      <c r="D27" s="26"/>
      <c r="E27" s="76"/>
      <c r="F27" s="76" t="s">
        <v>51</v>
      </c>
      <c r="G27" s="76">
        <f>DEGREES(ASIN(SIN(RADIANS(G21))*(SIN(RADIANS(G25)))+COS(RADIANS(G21))*COS(RADIANS(G25))*COS(RADIANS(G26))))</f>
        <v>24.671503181754499</v>
      </c>
      <c r="H27" s="76"/>
      <c r="I27" s="110" t="s">
        <v>50</v>
      </c>
      <c r="J27" s="76">
        <f>TRUNC((J23+L23/60)+IF(K24="+",(L24/60),(L24/60)*-1)+IF(K25="+",(L25/60),(L25/60)*-1)+IF(K26="+",(L26/60),(L26/60)*-1))</f>
        <v>24</v>
      </c>
      <c r="K27" s="76" t="s">
        <v>9</v>
      </c>
      <c r="L27" s="111">
        <f>((J23+L23/60)+IF(K24="+",(L24/60),(L24/60)*-1)+IF(K25="+",(L25/60),(L25/60)*-1)+IF(K26="+",(L26/60),(L26/60)*-1)-J27)*60</f>
        <v>30.890190905269748</v>
      </c>
      <c r="M27" s="76" t="s">
        <v>10</v>
      </c>
      <c r="N27" s="76"/>
      <c r="O27" s="76"/>
      <c r="P27" s="76"/>
      <c r="Q27" s="76"/>
      <c r="R27" s="76"/>
      <c r="S27" s="76"/>
      <c r="T27" s="76"/>
      <c r="U27" s="76"/>
      <c r="V27" s="76"/>
      <c r="W27" s="76"/>
      <c r="X27" s="76"/>
    </row>
    <row r="28" spans="1:24" ht="19.5" thickBot="1" x14ac:dyDescent="0.45">
      <c r="A28" s="76"/>
      <c r="B28" s="104">
        <v>14</v>
      </c>
      <c r="C28" s="25"/>
      <c r="D28" s="26"/>
      <c r="E28" s="76"/>
      <c r="F28" s="76"/>
      <c r="G28" s="76"/>
      <c r="H28" s="76"/>
      <c r="I28" s="118" t="s">
        <v>20</v>
      </c>
      <c r="J28" s="119">
        <f>P9</f>
        <v>24</v>
      </c>
      <c r="K28" s="119" t="s">
        <v>9</v>
      </c>
      <c r="L28" s="119">
        <f>R9</f>
        <v>40.299999999999997</v>
      </c>
      <c r="M28" s="119" t="s">
        <v>10</v>
      </c>
      <c r="N28" s="119"/>
      <c r="O28" s="119"/>
      <c r="P28" s="119"/>
      <c r="Q28" s="76"/>
      <c r="R28" s="76"/>
      <c r="S28" s="76"/>
      <c r="T28" s="76"/>
      <c r="U28" s="76"/>
      <c r="V28" s="76"/>
      <c r="W28" s="76"/>
      <c r="X28" s="76"/>
    </row>
    <row r="29" spans="1:24" ht="20.25" thickTop="1" thickBot="1" x14ac:dyDescent="0.45">
      <c r="A29" s="76"/>
      <c r="B29" s="105">
        <v>15</v>
      </c>
      <c r="C29" s="31"/>
      <c r="D29" s="32"/>
      <c r="E29" s="76"/>
      <c r="F29" s="76"/>
      <c r="G29" s="76"/>
      <c r="H29" s="76"/>
      <c r="I29" s="110" t="s">
        <v>13</v>
      </c>
      <c r="J29" s="76"/>
      <c r="K29" s="76"/>
      <c r="L29" s="111">
        <f>((J28+L28/60)-(J27+L27/60))*60</f>
        <v>9.4098090947302637</v>
      </c>
      <c r="M29" s="76" t="s">
        <v>10</v>
      </c>
      <c r="N29" s="76"/>
      <c r="O29" s="76"/>
      <c r="P29" s="76"/>
      <c r="Q29" s="76"/>
      <c r="R29" s="76"/>
      <c r="S29" s="76"/>
      <c r="T29" s="76"/>
      <c r="U29" s="76"/>
      <c r="V29" s="76"/>
      <c r="W29" s="76"/>
      <c r="X29" s="76"/>
    </row>
    <row r="30" spans="1:24" x14ac:dyDescent="0.4">
      <c r="A30" s="76"/>
      <c r="B30" s="76"/>
      <c r="C30" s="76"/>
      <c r="D30" s="76"/>
      <c r="E30" s="76"/>
      <c r="F30" s="76"/>
      <c r="G30" s="76"/>
      <c r="H30" s="76"/>
      <c r="I30" s="76"/>
      <c r="J30" s="76"/>
      <c r="K30" s="76"/>
      <c r="L30" s="76"/>
      <c r="M30" s="76"/>
      <c r="N30" s="76"/>
      <c r="O30" s="76"/>
      <c r="P30" s="76"/>
      <c r="Q30" s="76"/>
      <c r="R30" s="76"/>
      <c r="S30" s="76"/>
      <c r="T30" s="76"/>
      <c r="U30" s="76"/>
      <c r="V30" s="76"/>
      <c r="W30" s="76"/>
      <c r="X30" s="76"/>
    </row>
    <row r="31" spans="1:24" x14ac:dyDescent="0.4">
      <c r="A31" s="76"/>
      <c r="B31" s="76"/>
      <c r="C31" s="76"/>
      <c r="D31" s="76"/>
      <c r="E31" s="76"/>
      <c r="F31" s="76"/>
      <c r="G31" s="76"/>
      <c r="H31" s="76"/>
      <c r="I31" s="110" t="s">
        <v>16</v>
      </c>
      <c r="J31" s="111">
        <f>DEGREES(ACOS((SIN(RADIANS(G25))-SIN(RADIANS(G21))*SIN(RADIANS(G27)))/(COS(RADIANS(G21))*COS(RADIANS(G27)))))</f>
        <v>114.19562344084007</v>
      </c>
      <c r="K31" s="76" t="s">
        <v>9</v>
      </c>
      <c r="L31" s="76"/>
      <c r="M31" s="76"/>
      <c r="N31" s="76"/>
      <c r="O31" s="76"/>
      <c r="P31" s="76"/>
      <c r="Q31" s="76"/>
      <c r="R31" s="76"/>
      <c r="S31" s="76"/>
      <c r="T31" s="76"/>
      <c r="U31" s="76"/>
      <c r="V31" s="76"/>
      <c r="W31" s="76"/>
      <c r="X31" s="76"/>
    </row>
    <row r="32" spans="1:24" x14ac:dyDescent="0.4">
      <c r="A32" s="76"/>
      <c r="B32" s="76"/>
      <c r="C32" s="76"/>
      <c r="D32" s="76"/>
      <c r="E32" s="76"/>
      <c r="F32" s="76"/>
      <c r="G32" s="76"/>
      <c r="H32" s="76"/>
      <c r="I32" s="76"/>
      <c r="J32" s="76" t="str">
        <f>IF(G26&gt;180,"h&gt;180 より","h&lt;180 より")</f>
        <v>h&gt;180 より</v>
      </c>
      <c r="K32" s="110" t="s">
        <v>11</v>
      </c>
      <c r="L32" s="111">
        <f>J31</f>
        <v>114.19562344084007</v>
      </c>
      <c r="M32" s="76" t="str">
        <f>IF(G26&gt;180,"E","W")</f>
        <v>E</v>
      </c>
      <c r="N32" s="110" t="s">
        <v>12</v>
      </c>
      <c r="O32" s="76"/>
      <c r="P32" s="111">
        <f>IF(G26&gt;=180,J31,360-J31)</f>
        <v>114.19562344084007</v>
      </c>
      <c r="Q32" s="76" t="s">
        <v>9</v>
      </c>
      <c r="R32" s="76"/>
      <c r="S32" s="76"/>
      <c r="T32" s="76"/>
      <c r="U32" s="76"/>
      <c r="V32" s="76"/>
      <c r="W32" s="76"/>
      <c r="X32" s="76"/>
    </row>
    <row r="33" spans="1:24" x14ac:dyDescent="0.4">
      <c r="A33" s="101"/>
      <c r="B33" s="101"/>
      <c r="C33" s="101"/>
      <c r="D33" s="101"/>
      <c r="E33" s="101"/>
      <c r="F33" s="101"/>
      <c r="G33" s="101"/>
      <c r="H33" s="101"/>
      <c r="I33" s="101"/>
      <c r="J33" s="101"/>
      <c r="K33" s="101"/>
      <c r="L33" s="101"/>
      <c r="M33" s="101"/>
      <c r="N33" s="101"/>
      <c r="O33" s="101"/>
      <c r="P33" s="101"/>
      <c r="Q33" s="101"/>
      <c r="R33" s="101"/>
      <c r="S33" s="101"/>
      <c r="T33" s="101"/>
      <c r="U33" s="101"/>
      <c r="V33" s="101"/>
      <c r="W33" s="101"/>
      <c r="X33" s="101"/>
    </row>
  </sheetData>
  <mergeCells count="15">
    <mergeCell ref="V18:W18"/>
    <mergeCell ref="O23:P23"/>
    <mergeCell ref="B13:D13"/>
    <mergeCell ref="I13:I14"/>
    <mergeCell ref="J13:R13"/>
    <mergeCell ref="J14:M14"/>
    <mergeCell ref="N14:R14"/>
    <mergeCell ref="S18:T18"/>
    <mergeCell ref="J8:O8"/>
    <mergeCell ref="P8:S8"/>
    <mergeCell ref="A1:X1"/>
    <mergeCell ref="A2:X2"/>
    <mergeCell ref="B4:C4"/>
    <mergeCell ref="P4:R4"/>
    <mergeCell ref="H5:H6"/>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AA8E5-3E63-4BD5-A78E-5417596663D5}">
  <dimension ref="A1:X36"/>
  <sheetViews>
    <sheetView zoomScale="85" zoomScaleNormal="85" workbookViewId="0">
      <selection activeCell="X36" sqref="A1:X36"/>
    </sheetView>
  </sheetViews>
  <sheetFormatPr defaultRowHeight="18.75" x14ac:dyDescent="0.4"/>
  <sheetData>
    <row r="1" spans="1:24" ht="38.25" customHeight="1" x14ac:dyDescent="0.4">
      <c r="A1" s="71" t="s">
        <v>60</v>
      </c>
      <c r="B1" s="72"/>
      <c r="C1" s="72"/>
      <c r="D1" s="72"/>
      <c r="E1" s="72"/>
      <c r="F1" s="72"/>
      <c r="G1" s="72"/>
      <c r="H1" s="72"/>
      <c r="I1" s="72"/>
      <c r="J1" s="72"/>
      <c r="K1" s="72"/>
      <c r="L1" s="72"/>
      <c r="M1" s="72"/>
      <c r="N1" s="72"/>
      <c r="O1" s="72"/>
      <c r="P1" s="72"/>
      <c r="Q1" s="72"/>
      <c r="R1" s="72"/>
      <c r="S1" s="72"/>
      <c r="T1" s="72"/>
      <c r="U1" s="72"/>
      <c r="V1" s="72"/>
      <c r="W1" s="72"/>
      <c r="X1" s="72"/>
    </row>
    <row r="2" spans="1:24" ht="19.5" thickBot="1" x14ac:dyDescent="0.45">
      <c r="A2" s="73" t="str">
        <f>午前観測!A2</f>
        <v>Ver.1.1.8 Created by Very Micro Soft</v>
      </c>
      <c r="B2" s="73"/>
      <c r="C2" s="73"/>
      <c r="D2" s="73"/>
      <c r="E2" s="73"/>
      <c r="F2" s="73"/>
      <c r="G2" s="73"/>
      <c r="H2" s="73"/>
      <c r="I2" s="73"/>
      <c r="J2" s="73"/>
      <c r="K2" s="73"/>
      <c r="L2" s="73"/>
      <c r="M2" s="73"/>
      <c r="N2" s="73"/>
      <c r="O2" s="73"/>
      <c r="P2" s="73"/>
      <c r="Q2" s="73"/>
      <c r="R2" s="73"/>
      <c r="S2" s="73"/>
      <c r="T2" s="73"/>
      <c r="U2" s="73"/>
      <c r="V2" s="73"/>
      <c r="W2" s="73"/>
      <c r="X2" s="73"/>
    </row>
    <row r="3" spans="1:24" ht="19.5" thickBot="1" x14ac:dyDescent="0.45">
      <c r="A3" s="76"/>
      <c r="B3" s="130" t="s">
        <v>0</v>
      </c>
      <c r="C3" s="74" t="str">
        <f>午前観測!C3</f>
        <v>某</v>
      </c>
      <c r="D3" s="74" t="s">
        <v>1</v>
      </c>
      <c r="E3" s="74">
        <f>午前観測!E3</f>
        <v>2</v>
      </c>
      <c r="F3" s="74" t="s">
        <v>2</v>
      </c>
      <c r="G3" s="74">
        <f>午前観測!G3</f>
        <v>5</v>
      </c>
      <c r="H3" s="74" t="s">
        <v>3</v>
      </c>
      <c r="I3" s="131" t="s">
        <v>61</v>
      </c>
      <c r="J3" s="74" t="s">
        <v>5</v>
      </c>
      <c r="K3" s="74"/>
      <c r="L3" s="74"/>
      <c r="M3" s="74"/>
      <c r="N3" s="75"/>
      <c r="O3" s="76"/>
      <c r="P3" s="197" t="s">
        <v>62</v>
      </c>
      <c r="Q3" s="198"/>
      <c r="R3" s="198"/>
      <c r="S3" s="198"/>
      <c r="T3" s="198"/>
      <c r="U3" s="198"/>
      <c r="V3" s="199"/>
      <c r="W3" s="76"/>
      <c r="X3" s="76"/>
    </row>
    <row r="4" spans="1:24" x14ac:dyDescent="0.4">
      <c r="A4" s="76"/>
      <c r="B4" s="200" t="str">
        <f>午前観測!I3</f>
        <v>1020</v>
      </c>
      <c r="C4" s="77" t="s">
        <v>6</v>
      </c>
      <c r="D4" s="77"/>
      <c r="E4" s="77"/>
      <c r="F4" s="77"/>
      <c r="G4" s="77"/>
      <c r="H4" s="77"/>
      <c r="I4" s="77" t="str">
        <f>" N/"&amp;G3&amp;" D.R.P."</f>
        <v xml:space="preserve"> N/5 D.R.P.</v>
      </c>
      <c r="J4" s="77"/>
      <c r="K4" s="77"/>
      <c r="L4" s="77"/>
      <c r="M4" s="77"/>
      <c r="N4" s="78"/>
      <c r="O4" s="76"/>
      <c r="P4" s="201" t="str">
        <f>" N/"&amp;G3&amp;" POSN"</f>
        <v xml:space="preserve"> N/5 POSN</v>
      </c>
      <c r="Q4" s="202"/>
      <c r="R4" s="203"/>
      <c r="S4" s="203"/>
      <c r="T4" s="203"/>
      <c r="U4" s="203"/>
      <c r="V4" s="204"/>
      <c r="W4" s="76"/>
      <c r="X4" s="76"/>
    </row>
    <row r="5" spans="1:24" x14ac:dyDescent="0.4">
      <c r="A5" s="76"/>
      <c r="B5" s="99" t="s">
        <v>8</v>
      </c>
      <c r="C5" s="76">
        <f>午前観測!J5</f>
        <v>6</v>
      </c>
      <c r="D5" s="76" t="s">
        <v>9</v>
      </c>
      <c r="E5" s="111">
        <f>午前観測!L5</f>
        <v>45.313941331849961</v>
      </c>
      <c r="F5" s="133" t="s">
        <v>10</v>
      </c>
      <c r="G5" s="110" t="str">
        <f>午前観測!N5</f>
        <v>N</v>
      </c>
      <c r="H5" s="205" t="s">
        <v>12</v>
      </c>
      <c r="I5" s="76" t="s">
        <v>8</v>
      </c>
      <c r="J5" s="76">
        <f>ABS(TRUNC(G26))</f>
        <v>6</v>
      </c>
      <c r="K5" s="76" t="s">
        <v>9</v>
      </c>
      <c r="L5" s="111">
        <f>ABS((G26-J5)*60)</f>
        <v>51.290753842395667</v>
      </c>
      <c r="M5" s="76" t="s">
        <v>10</v>
      </c>
      <c r="N5" s="84" t="str">
        <f>IF(G26&gt;=0,"N","S")</f>
        <v>N</v>
      </c>
      <c r="O5" s="76"/>
      <c r="P5" s="206" t="s">
        <v>63</v>
      </c>
      <c r="Q5" s="207"/>
      <c r="R5" s="208">
        <f>TRUNC(G26-L32/60)</f>
        <v>6</v>
      </c>
      <c r="S5" s="207" t="s">
        <v>9</v>
      </c>
      <c r="T5" s="209">
        <f>((G26-L32/60)-R5)*60</f>
        <v>33.861424093677464</v>
      </c>
      <c r="U5" s="210" t="s">
        <v>10</v>
      </c>
      <c r="V5" s="211" t="str">
        <f>IF(G26&gt;=0,"N","S")</f>
        <v>N</v>
      </c>
      <c r="W5" s="76"/>
      <c r="X5" s="76"/>
    </row>
    <row r="6" spans="1:24" ht="19.5" thickBot="1" x14ac:dyDescent="0.45">
      <c r="A6" s="76"/>
      <c r="B6" s="100" t="s">
        <v>14</v>
      </c>
      <c r="C6" s="87">
        <f>午前観測!J6</f>
        <v>114</v>
      </c>
      <c r="D6" s="87" t="s">
        <v>9</v>
      </c>
      <c r="E6" s="88">
        <f>午前観測!L6</f>
        <v>10.502390060213145</v>
      </c>
      <c r="F6" s="87" t="s">
        <v>10</v>
      </c>
      <c r="G6" s="132" t="str">
        <f>午前観測!N6</f>
        <v>E</v>
      </c>
      <c r="H6" s="95"/>
      <c r="I6" s="87" t="s">
        <v>14</v>
      </c>
      <c r="J6" s="87">
        <f>ABS(TRUNC(G27))</f>
        <v>114</v>
      </c>
      <c r="K6" s="87" t="s">
        <v>9</v>
      </c>
      <c r="L6" s="88">
        <f>ABS((G27-J6)*60)</f>
        <v>19.174570689423831</v>
      </c>
      <c r="M6" s="87" t="s">
        <v>10</v>
      </c>
      <c r="N6" s="89" t="str">
        <f>IF(G27&gt;=0,"E","W")</f>
        <v>E</v>
      </c>
      <c r="O6" s="76"/>
      <c r="P6" s="212" t="s">
        <v>64</v>
      </c>
      <c r="Q6" s="213"/>
      <c r="R6" s="214">
        <f>TRUNC(G27+P34/60)</f>
        <v>114</v>
      </c>
      <c r="S6" s="213" t="s">
        <v>9</v>
      </c>
      <c r="T6" s="215">
        <f>((G27+P34/60)-R6)*60</f>
        <v>14.348440645923688</v>
      </c>
      <c r="U6" s="216" t="s">
        <v>10</v>
      </c>
      <c r="V6" s="217" t="str">
        <f>IF(G27&gt;=0,"E","SW")</f>
        <v>E</v>
      </c>
      <c r="W6" s="76"/>
      <c r="X6" s="76"/>
    </row>
    <row r="7" spans="1:24" x14ac:dyDescent="0.4">
      <c r="A7" s="76"/>
      <c r="B7" s="76"/>
      <c r="C7" s="76"/>
      <c r="D7" s="76"/>
      <c r="E7" s="76"/>
      <c r="F7" s="76"/>
      <c r="G7" s="76"/>
      <c r="H7" s="110"/>
      <c r="I7" s="76"/>
      <c r="J7" s="76"/>
      <c r="K7" s="76"/>
      <c r="L7" s="93"/>
      <c r="M7" s="76"/>
      <c r="N7" s="76"/>
      <c r="O7" s="76"/>
      <c r="P7" s="76"/>
      <c r="Q7" s="76"/>
      <c r="R7" s="76"/>
      <c r="S7" s="76"/>
      <c r="T7" s="76"/>
      <c r="U7" s="76"/>
      <c r="V7" s="76"/>
      <c r="W7" s="76"/>
      <c r="X7" s="76"/>
    </row>
    <row r="8" spans="1:24" x14ac:dyDescent="0.4">
      <c r="A8" s="76"/>
      <c r="B8" s="76" t="s">
        <v>180</v>
      </c>
      <c r="C8" s="10">
        <v>27.8</v>
      </c>
      <c r="D8" s="76" t="s">
        <v>181</v>
      </c>
      <c r="E8" s="10">
        <v>1009.6</v>
      </c>
      <c r="F8" s="76" t="s">
        <v>182</v>
      </c>
      <c r="G8" s="5">
        <v>7</v>
      </c>
      <c r="H8" s="110"/>
      <c r="I8" s="110" t="s">
        <v>20</v>
      </c>
      <c r="J8" s="5">
        <v>64</v>
      </c>
      <c r="K8" s="76" t="s">
        <v>9</v>
      </c>
      <c r="L8" s="10">
        <v>32.4</v>
      </c>
      <c r="M8" s="76" t="s">
        <v>10</v>
      </c>
      <c r="N8" s="110"/>
      <c r="O8" s="76"/>
      <c r="P8" s="76"/>
      <c r="Q8" s="76"/>
      <c r="R8" s="76"/>
      <c r="S8" s="76"/>
      <c r="T8" s="76"/>
      <c r="U8" s="76"/>
      <c r="V8" s="76"/>
      <c r="W8" s="76"/>
      <c r="X8" s="76"/>
    </row>
    <row r="9" spans="1:24" ht="19.5" thickBot="1" x14ac:dyDescent="0.45">
      <c r="A9" s="76"/>
      <c r="B9" s="76"/>
      <c r="C9" s="76"/>
      <c r="D9" s="76"/>
      <c r="E9" s="76"/>
      <c r="F9" s="76"/>
      <c r="G9" s="76"/>
      <c r="H9" s="76"/>
      <c r="I9" s="110"/>
      <c r="J9" s="76"/>
      <c r="K9" s="76"/>
      <c r="L9" s="111"/>
      <c r="M9" s="76"/>
      <c r="N9" s="76"/>
      <c r="O9" s="76"/>
      <c r="P9" s="76"/>
      <c r="Q9" s="76"/>
      <c r="R9" s="76"/>
      <c r="S9" s="76"/>
      <c r="T9" s="76"/>
      <c r="U9" s="76"/>
      <c r="V9" s="76"/>
      <c r="W9" s="76"/>
      <c r="X9" s="76"/>
    </row>
    <row r="10" spans="1:24" x14ac:dyDescent="0.4">
      <c r="A10" s="76"/>
      <c r="B10" s="175" t="s">
        <v>65</v>
      </c>
      <c r="C10" s="125" t="s">
        <v>28</v>
      </c>
      <c r="D10" s="125"/>
      <c r="E10" s="125"/>
      <c r="F10" s="126"/>
      <c r="G10" s="76"/>
      <c r="H10" s="76"/>
      <c r="I10" s="76"/>
      <c r="J10" s="76"/>
      <c r="K10" s="76"/>
      <c r="L10" s="76"/>
      <c r="M10" s="76"/>
      <c r="N10" s="76"/>
      <c r="O10" s="76"/>
      <c r="P10" s="76"/>
      <c r="Q10" s="76"/>
      <c r="R10" s="76"/>
      <c r="S10" s="76"/>
      <c r="T10" s="76"/>
      <c r="U10" s="76"/>
      <c r="V10" s="76"/>
      <c r="W10" s="76"/>
      <c r="X10" s="76"/>
    </row>
    <row r="11" spans="1:24" x14ac:dyDescent="0.4">
      <c r="A11" s="76"/>
      <c r="B11" s="234"/>
      <c r="C11" s="173" t="s">
        <v>66</v>
      </c>
      <c r="D11" s="173"/>
      <c r="E11" s="173"/>
      <c r="F11" s="128"/>
      <c r="G11" s="76"/>
      <c r="H11" s="76"/>
      <c r="I11" s="110" t="s">
        <v>67</v>
      </c>
      <c r="J11" s="5">
        <v>9</v>
      </c>
      <c r="K11" s="76" t="s">
        <v>68</v>
      </c>
      <c r="L11" s="33">
        <v>0</v>
      </c>
      <c r="M11" s="76" t="s">
        <v>69</v>
      </c>
      <c r="N11" s="76"/>
      <c r="O11" s="76"/>
      <c r="P11" s="76"/>
      <c r="Q11" s="76"/>
      <c r="R11" s="76"/>
      <c r="S11" s="76"/>
      <c r="T11" s="76"/>
      <c r="U11" s="76"/>
      <c r="V11" s="76"/>
      <c r="W11" s="76"/>
      <c r="X11" s="76"/>
    </row>
    <row r="12" spans="1:24" ht="19.5" thickBot="1" x14ac:dyDescent="0.45">
      <c r="A12" s="76"/>
      <c r="B12" s="176"/>
      <c r="C12" s="236" t="s">
        <v>70</v>
      </c>
      <c r="D12" s="239"/>
      <c r="E12" s="237" t="s">
        <v>71</v>
      </c>
      <c r="F12" s="238"/>
      <c r="G12" s="76"/>
      <c r="H12" s="76"/>
      <c r="I12" s="76"/>
      <c r="J12" s="76"/>
      <c r="K12" s="76"/>
      <c r="L12" s="122"/>
      <c r="M12" s="76"/>
      <c r="N12" s="76"/>
      <c r="O12" s="76"/>
      <c r="P12" s="76"/>
      <c r="Q12" s="76"/>
      <c r="R12" s="76"/>
      <c r="S12" s="76"/>
      <c r="T12" s="76"/>
      <c r="U12" s="76"/>
      <c r="V12" s="76"/>
      <c r="W12" s="76"/>
      <c r="X12" s="76"/>
    </row>
    <row r="13" spans="1:24" x14ac:dyDescent="0.15">
      <c r="A13" s="76"/>
      <c r="B13" s="242" t="s">
        <v>56</v>
      </c>
      <c r="C13" s="243" t="s">
        <v>69</v>
      </c>
      <c r="D13" s="244" t="s">
        <v>41</v>
      </c>
      <c r="E13" s="245" t="s">
        <v>69</v>
      </c>
      <c r="F13" s="246" t="s">
        <v>41</v>
      </c>
      <c r="G13" s="218" t="s">
        <v>72</v>
      </c>
      <c r="H13" s="76"/>
      <c r="I13" s="175" t="s">
        <v>19</v>
      </c>
      <c r="J13" s="125" t="s">
        <v>28</v>
      </c>
      <c r="K13" s="125"/>
      <c r="L13" s="125"/>
      <c r="M13" s="125"/>
      <c r="N13" s="125"/>
      <c r="O13" s="126"/>
      <c r="P13" s="76"/>
      <c r="Q13" s="76"/>
      <c r="R13" s="76"/>
      <c r="S13" s="76"/>
      <c r="T13" s="76"/>
      <c r="U13" s="76"/>
      <c r="V13" s="76"/>
      <c r="W13" s="76"/>
      <c r="X13" s="76"/>
    </row>
    <row r="14" spans="1:24" ht="19.5" thickBot="1" x14ac:dyDescent="0.45">
      <c r="A14" s="76"/>
      <c r="B14" s="235">
        <f>G3</f>
        <v>5</v>
      </c>
      <c r="C14" s="240" t="s">
        <v>73</v>
      </c>
      <c r="D14" s="241" t="s">
        <v>73</v>
      </c>
      <c r="E14" s="34" t="s">
        <v>73</v>
      </c>
      <c r="F14" s="35" t="s">
        <v>74</v>
      </c>
      <c r="G14" s="36" t="b">
        <v>1</v>
      </c>
      <c r="H14" s="76"/>
      <c r="I14" s="176"/>
      <c r="J14" s="177" t="s">
        <v>34</v>
      </c>
      <c r="K14" s="178"/>
      <c r="L14" s="178"/>
      <c r="M14" s="178"/>
      <c r="N14" s="178"/>
      <c r="O14" s="179"/>
      <c r="P14" s="110"/>
      <c r="Q14" s="110"/>
      <c r="R14" s="76"/>
      <c r="S14" s="76"/>
      <c r="T14" s="76"/>
      <c r="U14" s="76"/>
      <c r="V14" s="76"/>
      <c r="W14" s="76"/>
      <c r="X14" s="76"/>
    </row>
    <row r="15" spans="1:24" x14ac:dyDescent="0.4">
      <c r="A15" s="76"/>
      <c r="B15" s="76"/>
      <c r="C15" s="76"/>
      <c r="D15" s="76"/>
      <c r="E15" s="76"/>
      <c r="F15" s="233">
        <f>((((E14*60+F14)-(C14*60+D14))/(12*3600))*(J20*3600+L20*60))+(C14*60+D14)</f>
        <v>794.82445621727345</v>
      </c>
      <c r="G15" s="76"/>
      <c r="H15" s="76"/>
      <c r="I15" s="248">
        <f>J20</f>
        <v>4</v>
      </c>
      <c r="J15" s="249" t="s">
        <v>36</v>
      </c>
      <c r="K15" s="185"/>
      <c r="L15" s="187">
        <v>18</v>
      </c>
      <c r="M15" s="185" t="s">
        <v>9</v>
      </c>
      <c r="N15" s="186">
        <v>41.6</v>
      </c>
      <c r="O15" s="188" t="s">
        <v>10</v>
      </c>
      <c r="P15" s="146">
        <f>IF(J15="N",L15+N15/60,(L15+N15/60)*-1)</f>
        <v>-18.693333333333335</v>
      </c>
      <c r="Q15" s="76"/>
      <c r="R15" s="76"/>
      <c r="S15" s="76"/>
      <c r="T15" s="76"/>
      <c r="U15" s="76"/>
      <c r="V15" s="76"/>
      <c r="W15" s="76"/>
      <c r="X15" s="76"/>
    </row>
    <row r="16" spans="1:24" ht="19.5" thickBot="1" x14ac:dyDescent="0.45">
      <c r="A16" s="76"/>
      <c r="B16" s="76"/>
      <c r="C16" s="76"/>
      <c r="D16" s="76"/>
      <c r="E16" s="76"/>
      <c r="F16" s="76"/>
      <c r="G16" s="76"/>
      <c r="H16" s="76"/>
      <c r="I16" s="247">
        <f>I15+1</f>
        <v>5</v>
      </c>
      <c r="J16" s="29" t="s">
        <v>36</v>
      </c>
      <c r="K16" s="148"/>
      <c r="L16" s="27">
        <v>18</v>
      </c>
      <c r="M16" s="149" t="s">
        <v>9</v>
      </c>
      <c r="N16" s="28">
        <v>43.5</v>
      </c>
      <c r="O16" s="150" t="s">
        <v>10</v>
      </c>
      <c r="P16" s="146">
        <f>IF(J16="N",L16+N16/60,(L16+N16/60)*-1)</f>
        <v>-18.725000000000001</v>
      </c>
      <c r="Q16" s="76"/>
      <c r="R16" s="76"/>
      <c r="S16" s="76"/>
      <c r="T16" s="76"/>
      <c r="U16" s="76"/>
      <c r="V16" s="76"/>
      <c r="W16" s="76"/>
      <c r="X16" s="76"/>
    </row>
    <row r="17" spans="1:24" ht="19.5" thickBot="1" x14ac:dyDescent="0.45">
      <c r="A17" s="76"/>
      <c r="B17" s="76"/>
      <c r="C17" s="76"/>
      <c r="D17" s="76"/>
      <c r="E17" s="76"/>
      <c r="F17" s="76"/>
      <c r="G17" s="76"/>
      <c r="H17" s="76"/>
      <c r="I17" s="110"/>
      <c r="J17" s="76"/>
      <c r="K17" s="76"/>
      <c r="L17" s="111"/>
      <c r="M17" s="76"/>
      <c r="N17" s="76"/>
      <c r="O17" s="76"/>
      <c r="P17" s="76"/>
      <c r="Q17" s="76"/>
      <c r="R17" s="76"/>
      <c r="S17" s="76"/>
      <c r="T17" s="76"/>
      <c r="U17" s="76"/>
      <c r="V17" s="76"/>
      <c r="W17" s="76"/>
      <c r="X17" s="76"/>
    </row>
    <row r="18" spans="1:24" ht="19.5" thickBot="1" x14ac:dyDescent="0.45">
      <c r="A18" s="76"/>
      <c r="B18" s="106" t="s">
        <v>27</v>
      </c>
      <c r="C18" s="107"/>
      <c r="D18" s="108"/>
      <c r="E18" s="76"/>
      <c r="F18" s="76"/>
      <c r="G18" s="76"/>
      <c r="H18" s="76"/>
      <c r="I18" s="110" t="s">
        <v>75</v>
      </c>
      <c r="J18" s="76">
        <v>12</v>
      </c>
      <c r="K18" s="76" t="s">
        <v>76</v>
      </c>
      <c r="L18" s="76">
        <v>0</v>
      </c>
      <c r="M18" s="76" t="s">
        <v>77</v>
      </c>
      <c r="N18" s="76">
        <v>0</v>
      </c>
      <c r="O18" s="121" t="s">
        <v>41</v>
      </c>
      <c r="P18" s="76"/>
      <c r="Q18" s="76"/>
      <c r="R18" s="76"/>
      <c r="S18" s="76"/>
      <c r="T18" s="76"/>
      <c r="U18" s="76"/>
      <c r="V18" s="76"/>
      <c r="W18" s="76"/>
      <c r="X18" s="76"/>
    </row>
    <row r="19" spans="1:24" ht="19.5" thickBot="1" x14ac:dyDescent="0.45">
      <c r="A19" s="76"/>
      <c r="B19" s="102" t="s">
        <v>29</v>
      </c>
      <c r="C19" s="109" t="s">
        <v>30</v>
      </c>
      <c r="D19" s="102" t="s">
        <v>31</v>
      </c>
      <c r="E19" s="76"/>
      <c r="F19" s="112" t="s">
        <v>32</v>
      </c>
      <c r="G19" s="219">
        <f>(COS(RADIANS(C20))*D20)+(COS(RADIANS(C21))*D21)+(COS(RADIANS(C22))*D22)+(COS(RADIANS(C23))*D23)+(COS(RADIANS(C24))*D24)+(COS(RADIANS(C25))*D25)+(COS(RADIANS(C26))*D26)+(COS(RADIANS(C27))*D27)+(COS(RADIANS(C28))*D28)+(COS(RADIANS(C29))*D29)+(COS(RADIANS(C30))*D30)+(COS(RADIANS(C31))*D31)+(COS(RADIANS(C32))*D32)+(COS(RADIANS(C33))*D33)+(COS(RADIANS(C34))*D34)</f>
        <v>5.9768125105457122</v>
      </c>
      <c r="H19" s="76"/>
      <c r="I19" s="196" t="s">
        <v>78</v>
      </c>
      <c r="J19" s="220">
        <f>TRUNC(G27/15)</f>
        <v>7</v>
      </c>
      <c r="K19" s="221" t="s">
        <v>39</v>
      </c>
      <c r="L19" s="222">
        <f>(G27/15-J19)*60</f>
        <v>37.278304712628234</v>
      </c>
      <c r="M19" s="221" t="s">
        <v>79</v>
      </c>
      <c r="N19" s="222">
        <f>((((G27/15)-J19)-L19/60))*3600</f>
        <v>0</v>
      </c>
      <c r="O19" s="221" t="s">
        <v>41</v>
      </c>
      <c r="P19" s="220" t="s">
        <v>80</v>
      </c>
      <c r="Q19" s="76"/>
      <c r="R19" s="76"/>
      <c r="S19" s="76"/>
      <c r="T19" s="76"/>
      <c r="U19" s="76"/>
      <c r="V19" s="76"/>
      <c r="W19" s="76"/>
      <c r="X19" s="76"/>
    </row>
    <row r="20" spans="1:24" x14ac:dyDescent="0.4">
      <c r="A20" s="76"/>
      <c r="B20" s="103">
        <v>1</v>
      </c>
      <c r="C20" s="23" t="s">
        <v>172</v>
      </c>
      <c r="D20" s="24">
        <v>2.7</v>
      </c>
      <c r="E20" s="76"/>
      <c r="F20" s="114" t="s">
        <v>35</v>
      </c>
      <c r="G20" s="223">
        <f>(SIN(RADIANS(C20))*D20)+(SIN(RADIANS(C21))*D21)+(SIN(RADIANS(C22))*D22)+(SIN(RADIANS(C23))*D23)+(SIN(RADIANS(C24))*D24)+(SIN(RADIANS(C25))*D25)+(SIN(RADIANS(C26))*D26)+(SIN(RADIANS(C27))*D27)+(SIN(RADIANS(C28))*D28)+(SIN(RADIANS(C29))*D29)+(SIN(RADIANS(C30))*D30)+(SIN(RADIANS(C31))*D31)+(SIN(RADIANS(C32))*D32)+(SIN(RADIANS(C33))*D33)+(SIN(RADIANS(C34))*D34)</f>
        <v>8.611085903369645</v>
      </c>
      <c r="H20" s="76"/>
      <c r="I20" s="110" t="s">
        <v>81</v>
      </c>
      <c r="J20" s="76">
        <f>TRUNC(12-G27/15)</f>
        <v>4</v>
      </c>
      <c r="K20" s="121" t="s">
        <v>39</v>
      </c>
      <c r="L20" s="122">
        <f>((12-G27/15)-J20)*60</f>
        <v>22.721695287371766</v>
      </c>
      <c r="M20" s="121" t="s">
        <v>79</v>
      </c>
      <c r="N20" s="76">
        <v>0</v>
      </c>
      <c r="O20" s="121" t="s">
        <v>41</v>
      </c>
      <c r="P20" s="76"/>
      <c r="Q20" s="76"/>
      <c r="R20" s="111"/>
      <c r="S20" s="76"/>
      <c r="T20" s="76"/>
      <c r="U20" s="76"/>
      <c r="V20" s="76"/>
      <c r="W20" s="76"/>
      <c r="X20" s="76"/>
    </row>
    <row r="21" spans="1:24" ht="19.5" thickBot="1" x14ac:dyDescent="0.45">
      <c r="A21" s="76"/>
      <c r="B21" s="104">
        <v>2</v>
      </c>
      <c r="C21" s="25" t="s">
        <v>178</v>
      </c>
      <c r="D21" s="26">
        <v>3</v>
      </c>
      <c r="E21" s="76"/>
      <c r="F21" s="116" t="s">
        <v>37</v>
      </c>
      <c r="G21" s="224">
        <f>((G20/60)/(COS(RADIANS(G23+G26)/2)))*60</f>
        <v>8.6721806292107892</v>
      </c>
      <c r="H21" s="76"/>
      <c r="I21" s="196" t="s">
        <v>82</v>
      </c>
      <c r="J21" s="220"/>
      <c r="K21" s="221"/>
      <c r="L21" s="225">
        <f>TRUNC(F15/60)</f>
        <v>13</v>
      </c>
      <c r="M21" s="221" t="s">
        <v>79</v>
      </c>
      <c r="N21" s="222">
        <f>TRUNC((F15-L21*60))</f>
        <v>14</v>
      </c>
      <c r="O21" s="221" t="s">
        <v>41</v>
      </c>
      <c r="P21" s="220" t="str">
        <f>IF(G14=FALSE,"(-","(+")</f>
        <v>(+</v>
      </c>
      <c r="Q21" s="76"/>
      <c r="R21" s="76"/>
      <c r="S21" s="76"/>
      <c r="T21" s="76"/>
      <c r="U21" s="76"/>
      <c r="V21" s="76"/>
      <c r="W21" s="76"/>
      <c r="X21" s="76"/>
    </row>
    <row r="22" spans="1:24" x14ac:dyDescent="0.4">
      <c r="A22" s="76"/>
      <c r="B22" s="104">
        <v>3</v>
      </c>
      <c r="C22" s="25" t="s">
        <v>179</v>
      </c>
      <c r="D22" s="26">
        <v>5.2</v>
      </c>
      <c r="E22" s="76"/>
      <c r="F22" s="76"/>
      <c r="G22" s="76"/>
      <c r="H22" s="76"/>
      <c r="I22" s="110" t="s">
        <v>19</v>
      </c>
      <c r="J22" s="76">
        <f>TRUNC(G29)</f>
        <v>4</v>
      </c>
      <c r="K22" s="76" t="s">
        <v>76</v>
      </c>
      <c r="L22" s="122">
        <f>TRUNC((G29-J22)*60)</f>
        <v>35</v>
      </c>
      <c r="M22" s="76" t="s">
        <v>77</v>
      </c>
      <c r="N22" s="122">
        <f>(G29-(J22+L22/60))*3600</f>
        <v>57.301717242306438</v>
      </c>
      <c r="O22" s="121" t="s">
        <v>41</v>
      </c>
      <c r="P22" s="76"/>
      <c r="Q22" s="76"/>
      <c r="R22" s="76"/>
      <c r="S22" s="76"/>
      <c r="T22" s="76"/>
      <c r="U22" s="76"/>
      <c r="V22" s="76"/>
      <c r="W22" s="76"/>
      <c r="X22" s="76"/>
    </row>
    <row r="23" spans="1:24" x14ac:dyDescent="0.4">
      <c r="A23" s="76"/>
      <c r="B23" s="104">
        <v>4</v>
      </c>
      <c r="C23" s="25"/>
      <c r="D23" s="26"/>
      <c r="E23" s="76"/>
      <c r="F23" s="76" t="s">
        <v>38</v>
      </c>
      <c r="G23" s="93">
        <f>IF(G5="N",C5+E5/60,(C5+E5/60)*-1)</f>
        <v>6.7552323555308327</v>
      </c>
      <c r="H23" s="76"/>
      <c r="I23" s="196" t="s">
        <v>67</v>
      </c>
      <c r="J23" s="220">
        <f>TRUNC(G30)</f>
        <v>9</v>
      </c>
      <c r="K23" s="221" t="s">
        <v>39</v>
      </c>
      <c r="L23" s="222">
        <f>TRUNC((G30-J23)*60)</f>
        <v>0</v>
      </c>
      <c r="M23" s="221" t="s">
        <v>69</v>
      </c>
      <c r="N23" s="220"/>
      <c r="O23" s="221"/>
      <c r="P23" s="220" t="s">
        <v>83</v>
      </c>
      <c r="Q23" s="76"/>
      <c r="R23" s="76"/>
      <c r="S23" s="127"/>
      <c r="T23" s="127"/>
      <c r="U23" s="76"/>
      <c r="V23" s="127"/>
      <c r="W23" s="127"/>
      <c r="X23" s="76"/>
    </row>
    <row r="24" spans="1:24" x14ac:dyDescent="0.4">
      <c r="A24" s="76"/>
      <c r="B24" s="104">
        <v>5</v>
      </c>
      <c r="C24" s="25"/>
      <c r="D24" s="26"/>
      <c r="E24" s="76"/>
      <c r="F24" s="76" t="s">
        <v>43</v>
      </c>
      <c r="G24" s="76">
        <f>IF(G6="E",C6+E6/60,(C6+E6/60)*-1)</f>
        <v>114.17503983433689</v>
      </c>
      <c r="H24" s="76"/>
      <c r="I24" s="110" t="s">
        <v>84</v>
      </c>
      <c r="J24" s="76">
        <f>TRUNC(G30+G29)</f>
        <v>13</v>
      </c>
      <c r="K24" s="76" t="s">
        <v>76</v>
      </c>
      <c r="L24" s="122">
        <f>TRUNC(((G29+G30)-J24)*60)</f>
        <v>35</v>
      </c>
      <c r="M24" s="76" t="s">
        <v>77</v>
      </c>
      <c r="N24" s="122">
        <f>((G29+G30)-J24-L24/60)*3600</f>
        <v>57.30171724230204</v>
      </c>
      <c r="O24" s="121" t="s">
        <v>41</v>
      </c>
      <c r="P24" s="76"/>
      <c r="Q24" s="76"/>
      <c r="R24" s="76"/>
      <c r="S24" s="110"/>
      <c r="T24" s="76"/>
      <c r="U24" s="76"/>
      <c r="V24" s="110"/>
      <c r="W24" s="76"/>
      <c r="X24" s="76"/>
    </row>
    <row r="25" spans="1:24" x14ac:dyDescent="0.4">
      <c r="A25" s="76"/>
      <c r="B25" s="104">
        <v>6</v>
      </c>
      <c r="C25" s="25"/>
      <c r="D25" s="26"/>
      <c r="E25" s="76"/>
      <c r="F25" s="76"/>
      <c r="G25" s="76"/>
      <c r="H25" s="76"/>
      <c r="I25" s="110"/>
      <c r="J25" s="76"/>
      <c r="K25" s="76"/>
      <c r="L25" s="111"/>
      <c r="M25" s="76"/>
      <c r="N25" s="76"/>
      <c r="O25" s="76"/>
      <c r="P25" s="76"/>
      <c r="Q25" s="76"/>
      <c r="R25" s="76"/>
      <c r="S25" s="110"/>
      <c r="T25" s="110"/>
      <c r="U25" s="110"/>
      <c r="V25" s="110"/>
      <c r="W25" s="110"/>
      <c r="X25" s="76"/>
    </row>
    <row r="26" spans="1:24" x14ac:dyDescent="0.4">
      <c r="A26" s="76"/>
      <c r="B26" s="104">
        <v>7</v>
      </c>
      <c r="C26" s="25"/>
      <c r="D26" s="26"/>
      <c r="E26" s="76"/>
      <c r="F26" s="76" t="s">
        <v>47</v>
      </c>
      <c r="G26" s="93">
        <f>IF(G5="N",G23+(G19/60),(G23*-1)+(G19/60))</f>
        <v>6.8548458973732611</v>
      </c>
      <c r="H26" s="76"/>
      <c r="I26" s="110" t="s">
        <v>51</v>
      </c>
      <c r="J26" s="226">
        <f>TRUNC(G34)</f>
        <v>64</v>
      </c>
      <c r="K26" s="76" t="s">
        <v>9</v>
      </c>
      <c r="L26" s="111">
        <f>(G34-J26)*60</f>
        <v>25.970670251282399</v>
      </c>
      <c r="M26" s="133" t="s">
        <v>10</v>
      </c>
      <c r="N26" s="76"/>
      <c r="O26" s="164" t="s">
        <v>52</v>
      </c>
      <c r="P26" s="227"/>
      <c r="Q26" s="76"/>
      <c r="R26" s="76"/>
      <c r="S26" s="76"/>
      <c r="T26" s="111"/>
      <c r="U26" s="111"/>
      <c r="V26" s="76"/>
      <c r="W26" s="111"/>
      <c r="X26" s="76"/>
    </row>
    <row r="27" spans="1:24" x14ac:dyDescent="0.4">
      <c r="A27" s="76"/>
      <c r="B27" s="104">
        <v>8</v>
      </c>
      <c r="C27" s="25"/>
      <c r="D27" s="26"/>
      <c r="E27" s="76"/>
      <c r="F27" s="76" t="s">
        <v>64</v>
      </c>
      <c r="G27" s="93">
        <f>IF(G6="E",G24+(G21/60),(G24*-1)+(G21/60))</f>
        <v>114.31957617815706</v>
      </c>
      <c r="H27" s="76"/>
      <c r="I27" s="110" t="s">
        <v>53</v>
      </c>
      <c r="J27" s="76"/>
      <c r="K27" s="228" t="s">
        <v>54</v>
      </c>
      <c r="L27" s="111">
        <f>IF(O27=TRUE,P27,IF(OR(E3=4,E3=5,E3=6,E3=7,E3=8,E3=9,E3=10),IF($G$34&lt;'A2'!E6,'A2'!F6,IF($G$34&lt;'A2'!E7,'A2'!F7,IF($G$34&lt;'A2'!E8,'A2'!F8,IF($G$34&lt;'A2'!E9,'A2'!F9,IF($G$34&lt;'A2'!E10,'A2'!F10,IF($G$34&lt;'A2'!E11,'A2'!F11,IF($G$34&lt;'A2'!E12,'A2'!F12,IF($G$34&lt;'A2'!E13,'A2'!F13,IF($G$34&lt;'A2'!E14,'A2'!F14,IF($G$34&lt;'A2'!E15,'A2'!F15,IF($G$34&lt;'A2'!E16,'A2'!F16,IF($G$34&lt;'A2'!E17,'A2'!F17,IF($G$34&lt;'A2'!E18,'A2'!F18,IF($G$34&lt;'A2'!E19,'A2'!F19,IF($G$34&lt;'A2'!E20,'A2'!F20,IF($G$34&lt;'A2'!E21,'A2'!F21,IF($G$34&lt;'A2'!E22,'A2'!F22,IF($G$34&lt;'A2'!E23,'A2'!F23,IF($G$34&lt;'A2'!E24,'A2'!F24,IF($G$34&lt;'A2'!E25,'A2'!F25,IF($G$34&lt;'A2'!E26,'A2'!F26,IF($G$34&lt;'A2'!E27,'A2'!F27,IF($G$34&lt;'A2'!E28,'A2'!F28,IF($G$34&lt;'A2'!E29,'A2'!F29,IF($G$34&lt;'A2'!E30,'A2'!F30,IF($G$34&lt;'A2'!E31,'A2'!F31,IF($G$34&lt;'A2'!E32,'A2'!F32,IF($G$34&lt;'A2'!E33,'A2'!F33,IF($G$34&lt;'A2'!E34,'A2'!F34,IF($G$34&lt;'A2'!E35,'A2'!F35,IF($G$34&lt;'A2'!E36,'A2'!F36,IF($G$34&lt;'A2'!E37,'A2'!F37,IF($G$34&lt;'A2'!E38,'A2'!F38,IF($G$34&lt;'A2'!E39,'A2'!F39,IF($G$34&lt;'A2'!E40,'A2'!F40,IF($G$34&lt;'A2'!E41,'A2'!F41,IF($G$34&lt;'A2'!E42,'A2'!F42,IF($G$34&lt;'A2'!E43,'A2'!F43,IF($G$34&lt;'A2'!E44,'A2'!F44,IF($G$34&lt;'A2'!E45,'A2'!F45,IF($G$34&lt;'A2'!E46,'A2'!F46,IF($G$34&lt;'A2'!E47,'A2'!F47,IF($G$34&lt;'A2'!E48,'A2'!F48,IF($G$34&lt;'A2'!E49,'A2'!F49,IF($G$34&lt;'A2'!E50,'A2'!F50,IF($G$34&lt;'A2'!E51,'A2'!F51,IF($G$34&lt;'A2'!E52,'A2'!F52,IF($G$34&lt;'A2'!E53,'A2'!F53,IF($G$34&lt;'A2'!E54,'A2'!F54,IF($G$34&lt;'A2'!E55,'A2'!F55,IF($G$34&lt;'A2'!E56,'A2'!F56,IF($G$34&lt;'A2'!E57,'A2'!F57,IF($G$34&lt;'A2'!E58,'A2'!F58,IF($G$34&lt;'A2'!E59,'A2'!F59,IF($G$34&lt;'A2'!E60,'A2'!F60))))))))))))))))))))))))))))))))))))))))))))))))))))))),IF($G$34&lt;'A2'!B6,'A2'!C6,IF($G$34&lt;'A2'!B7,'A2'!C7,IF($G$34&lt;'A2'!B8,'A2'!C8,IF($G$34&lt;'A2'!B9,'A2'!C9,IF($G$34&lt;'A2'!B10,'A2'!C10,IF($G$34&lt;'A2'!B11,'A2'!C11,IF($G$34&lt;'A2'!B12,'A2'!C12,IF($G$34&lt;'A2'!B13,'A2'!C13,IF($G$34&lt;'A2'!B14,'A2'!C14,IF($G$34&lt;'A2'!B15,'A2'!C15,IF($G$34&lt;'A2'!B16,'A2'!C16,IF($G$34&lt;'A2'!B17,'A2'!C17,IF($G$34&lt;'A2'!B18,'A2'!C18,IF($G$34&lt;'A2'!B19,'A2'!C19,IF($G$34&lt;'A2'!B20,'A2'!C20,IF($G$34&lt;'A2'!B21,'A2'!C21,IF($G$34&lt;'A2'!B22,'A2'!C22,IF($G$34&lt;'A2'!B23,'A2'!C23,IF($G$34&lt;'A2'!B24,'A2'!C24,IF($G$34&lt;'A2'!B25,'A2'!C25,IF($G$34&lt;'A2'!B26,'A2'!C26,IF($G$34&lt;'A2'!B27,'A2'!C27,IF($G$34&lt;'A2'!B28,'A2'!C28,IF($G$34&lt;'A2'!B29,'A2'!C29,IF($G$34&lt;'A2'!B30,'A2'!C30,IF($G$34&lt;'A2'!B31,'A2'!C31,IF($G$34&lt;'A2'!B32,'A2'!C32,IF($G$34&lt;'A2'!B33,'A2'!C33,IF($G$34&lt;'A2'!B34,'A2'!C34,IF($G$34&lt;'A2'!B35,'A2'!C35,IF($G$34&lt;'A2'!B36,'A2'!C36,IF($G$34&lt;'A2'!B37,'A2'!C37,IF($G$34&lt;'A2'!B38,'A2'!C38,IF($G$34&lt;'A2'!B39,'A2'!C39,IF($G$34&lt;'A2'!B40,'A2'!C40,IF($G$34&lt;'A2'!B41,'A2'!C41,IF($G$34&lt;'A2'!B42,'A2'!C42,IF($G$34&lt;'A2'!B43,'A2'!C43,IF($G$34&lt;'A2'!B44,'A2'!C44,IF($G$34&lt;'A2'!B45,'A2'!C45,IF($G$34&lt;'A2'!B46,'A2'!C46,IF($G$34&lt;'A2'!B47,'A2'!C47,IF($G$34&lt;'A2'!B48,'A2'!C48,IF($G$34&lt;'A2'!B49,'A2'!C49,IF($G$34&lt;'A2'!B50,'A2'!C50,IF($G$34&lt;'A2'!B51,'A2'!C51,IF($G$34&lt;'A2'!B52,'A2'!C52,IF($G$34&lt;'A2'!B53,'A2'!C53,IF($G$34&lt;'A2'!B54,'A2'!C54,IF($G$34&lt;'A2'!B55,'A2'!C55,IF($G$34&lt;'A2'!B56,'A2'!C56,IF($G$34&lt;'A2'!B57,'A2'!C57,IF($G$34&lt;'A2'!B58,'A2'!C58,IF($G$34&lt;'A2'!B59,'A2'!C59,IF($G$34&lt;'A2'!B60,'A2'!C60)))))))))))))))))))))))))))))))))))))))))))))))))))))))))</f>
        <v>15.7</v>
      </c>
      <c r="M27" s="76"/>
      <c r="N27" s="76"/>
      <c r="O27" s="36" t="b">
        <v>0</v>
      </c>
      <c r="P27" s="10">
        <v>0</v>
      </c>
      <c r="Q27" s="76"/>
      <c r="R27" s="76"/>
      <c r="S27" s="110"/>
      <c r="T27" s="162"/>
      <c r="U27" s="76"/>
      <c r="V27" s="110"/>
      <c r="W27" s="162"/>
      <c r="X27" s="76"/>
    </row>
    <row r="28" spans="1:24" x14ac:dyDescent="0.4">
      <c r="A28" s="76"/>
      <c r="B28" s="104">
        <v>9</v>
      </c>
      <c r="C28" s="25"/>
      <c r="D28" s="26"/>
      <c r="E28" s="76"/>
      <c r="F28" s="76"/>
      <c r="G28" s="76"/>
      <c r="H28" s="76"/>
      <c r="I28" s="110" t="s">
        <v>57</v>
      </c>
      <c r="J28" s="76"/>
      <c r="K28" s="110" t="s">
        <v>58</v>
      </c>
      <c r="L28" s="111">
        <f>IF(O28=TRUE,P28,IF($G$8&lt;DIP!B5,DIP!C5,
IF($G$8&lt;DIP!B6,DIP!C6,
IF($G$8&lt;DIP!B7,DIP!C7,
IF($G$8&lt;DIP!B8,DIP!C8,
IF($G$8&lt;DIP!B9,DIP!C9,
IF($G$8&lt;DIP!B11,DIP!C11,
IF($G$8&lt;DIP!B12,DIP!C12,
IF($G$8&lt;DIP!B13,DIP!C13,
IF($G$8&lt;DIP!B14,DIP!C14,
IF($G$8&lt;DIP!B15,DIP!C15,
IF($G$8&lt;DIP!B16,DIP!C16,
IF($G$8&lt;DIP!B17,DIP!C17,
IF($G$8&lt;DIP!B18,DIP!C18,
IF($G$8&lt;DIP!B19,DIP!C19,
IF($G$8&lt;DIP!B20,DIP!C20,
IF($G$8&lt;DIP!B21,DIP!C21,
IF($G$8&lt;DIP!B22,DIP!C22,
IF($G$8&lt;DIP!B23,DIP!C23,
IF($G$8&lt;DIP!B24,DIP!C24,
IF($G$8&lt;DIP!B25,DIP!C25,
IF($G$8&lt;DIP!B26,DIP!C26,
IF($G$8&lt;DIP!B27,DIP!C27,
IF($G$8&lt;DIP!B28,DIP!C28,
IF($G$8&lt;DIP!B29,DIP!C29,
IF($G$8&lt;DIP!B30,DIP!C30,
IF($G$8&lt;DIP!B31,DIP!C31,
IF($G$8&lt;DIP!B32,DIP!C32,
IF($G$8&lt;DIP!B33,DIP!C33,
IF($G$8&lt;DIP!B34,DIP!C34,
IF($G$8&lt;DIP!B35,DIP!C35,
IF($G$8&lt;DIP!B36,DIP!C36,
IF($G$8&lt;DIP!B37,DIP!C37,
IF($G$8&lt;DIP!B38,DIP!C38,
IF($G$8&lt;DIP!B39,DIP!C39,
IF($G$8&lt;DIP!B40,DIP!C40,
IF($G$8&lt;DIP!B41,DIP!C41,
IF($G$8&lt;DIP!B42,DIP!C42,
IF($G$8&lt;DIP!B43,DIP!C43,
IF($G$8&lt;DIP!B44,DIP!C44,
IF($G$8&lt;DIP!B45,DIP!C45,
IF($G$8&lt;DIP!B46,DIP!C46,
IF($G$8&lt;DIP!B47,DIP!C47,
IF($G$8&lt;DIP!B48,DIP!C48,
IF($G$8&lt;DIP!B49,DIP!C49,
IF($G$8&lt;DIP!B50,DIP!C50,
IF($G$8&lt;DIP!B51,DIP!C51,
IF($G$8&lt;DIP!B52,DIP!C52,
IF($G$8&lt;DIP!B53,DIP!C53,
IF($G$8&lt;DIP!B54,DIP!C54,
IF($G$8&lt;DIP!B55,DIP!C55,
IF($G$8&lt;DIP!B56,DIP!C56,
IF($G$8&lt;DIP!B57,DIP!C57,
IF($G$8&lt;DIP!B58,DIP!C58,
)
)
)
)
)
)
)
)
)
)
)
)
)
)
)
)
)
)
)
)
)
)
)
)
)
)
)
)
)
)
)
)
)
)
)
)
)
)
)
)
)
)
)
)
)
)
)
)
)
)
)
)
))</f>
        <v>4.7</v>
      </c>
      <c r="M28" s="76"/>
      <c r="N28" s="76"/>
      <c r="O28" s="36" t="b">
        <v>0</v>
      </c>
      <c r="P28" s="10">
        <v>0</v>
      </c>
      <c r="Q28" s="76"/>
      <c r="R28" s="76"/>
      <c r="S28" s="110"/>
      <c r="T28" s="162"/>
      <c r="U28" s="76"/>
      <c r="V28" s="110"/>
      <c r="W28" s="162"/>
      <c r="X28" s="76"/>
    </row>
    <row r="29" spans="1:24" x14ac:dyDescent="0.4">
      <c r="A29" s="76"/>
      <c r="B29" s="104">
        <v>10</v>
      </c>
      <c r="C29" s="25"/>
      <c r="D29" s="26"/>
      <c r="E29" s="76"/>
      <c r="F29" s="76" t="s">
        <v>19</v>
      </c>
      <c r="G29" s="76">
        <f>IF(G14=FALSE,(J20+L20/60+N20/3600)-(L21/60+N21/3600),(J20+L20/60+N20/3600)+(L21/60+N21/3600))</f>
        <v>4.5992504770117515</v>
      </c>
      <c r="H29" s="76"/>
      <c r="I29" s="196" t="s">
        <v>59</v>
      </c>
      <c r="J29" s="220"/>
      <c r="K29" s="196" t="str">
        <f>IF('A4'!AF4&gt;0,"-","+")</f>
        <v>+</v>
      </c>
      <c r="L29" s="229">
        <f>IF(O29=TRUE,P29,ABS('A4'!AF4))</f>
        <v>0</v>
      </c>
      <c r="M29" s="220"/>
      <c r="N29" s="220" t="str">
        <f>IF(E8&gt;(5.9*C8+177)+970,"A",
  IF(E8&gt;(5.9*C8+141.6)+970,"B",
   IF(E8&gt;(5.9*C8+113.28)+970,"C",
    IF(E8&gt;(5.9*C8+55.46)+970,"D",
     IF(E8&gt;(5.9*C8+26.55)+970,"E",
      IF(E8&gt;(5.9*C8-2.95)+970,"F",
       IF(E8&gt;(5.9*C8-32.45)+970,"G",
        IF(E8&gt;(5.9*C8-61.95)+970,"H",
         IF(E8&gt;(5.9*C8-97.35)+970,"J",
          IF(E8&gt;(5.9*C8-120.95)+970,"K",
           IF(E8&gt;(5.9*C8-151.04)+970,"L",
            IF(E8&gt;(5.9*C8-182.31)+970,"M",
             IF(E8&gt;(5.9*C8-213.58)+970,"N","P"
             )
            )
           )
          )
         )
        )
       )
      )
     )
    )
   )
  )
 )</f>
        <v>L</v>
      </c>
      <c r="O29" s="232" t="b">
        <v>0</v>
      </c>
      <c r="P29" s="37">
        <v>0</v>
      </c>
      <c r="Q29" s="76"/>
      <c r="R29" s="76"/>
      <c r="S29" s="110"/>
      <c r="T29" s="111"/>
      <c r="U29" s="111"/>
      <c r="V29" s="110"/>
      <c r="W29" s="230"/>
      <c r="X29" s="76"/>
    </row>
    <row r="30" spans="1:24" x14ac:dyDescent="0.4">
      <c r="A30" s="76"/>
      <c r="B30" s="104">
        <v>11</v>
      </c>
      <c r="C30" s="25"/>
      <c r="D30" s="26"/>
      <c r="E30" s="76"/>
      <c r="F30" s="76" t="s">
        <v>67</v>
      </c>
      <c r="G30" s="76">
        <f>(J11+L11/60)</f>
        <v>9</v>
      </c>
      <c r="H30" s="76"/>
      <c r="I30" s="110" t="s">
        <v>50</v>
      </c>
      <c r="J30" s="76">
        <f>TRUNC((J26+L26/60)+IF(K27="+",(L27/60),(L27/60)*-1)+IF(K28="+",(L28/60),(L28/60)*-1)+IF(K29="+",(L29/60),(L29/60)*-1))</f>
        <v>64</v>
      </c>
      <c r="K30" s="76" t="s">
        <v>9</v>
      </c>
      <c r="L30" s="111">
        <f>((J26+L26/60)+IF(K27="+",(L27/60),(L27/60)*-1)+IF(K28="+",(L28/60),(L28/60)*-1)+IF(K29="+",(L29/60),(L29/60)*-1)-J30)*60</f>
        <v>14.970670251282172</v>
      </c>
      <c r="M30" s="76" t="s">
        <v>10</v>
      </c>
      <c r="N30" s="76"/>
      <c r="O30" s="76"/>
      <c r="P30" s="76"/>
      <c r="Q30" s="76"/>
      <c r="R30" s="76"/>
      <c r="S30" s="76"/>
      <c r="T30" s="76"/>
      <c r="U30" s="76"/>
      <c r="V30" s="76"/>
      <c r="W30" s="76"/>
      <c r="X30" s="76"/>
    </row>
    <row r="31" spans="1:24" x14ac:dyDescent="0.4">
      <c r="A31" s="76"/>
      <c r="B31" s="104">
        <v>12</v>
      </c>
      <c r="C31" s="25"/>
      <c r="D31" s="26"/>
      <c r="E31" s="76"/>
      <c r="F31" s="76"/>
      <c r="G31" s="76"/>
      <c r="H31" s="76"/>
      <c r="I31" s="196" t="s">
        <v>20</v>
      </c>
      <c r="J31" s="220">
        <f>J8</f>
        <v>64</v>
      </c>
      <c r="K31" s="220" t="s">
        <v>9</v>
      </c>
      <c r="L31" s="229">
        <f>L8</f>
        <v>32.4</v>
      </c>
      <c r="M31" s="220" t="s">
        <v>10</v>
      </c>
      <c r="N31" s="220"/>
      <c r="O31" s="220"/>
      <c r="P31" s="220"/>
      <c r="Q31" s="76"/>
      <c r="R31" s="76"/>
      <c r="S31" s="76"/>
      <c r="T31" s="76"/>
      <c r="U31" s="76"/>
      <c r="V31" s="76"/>
      <c r="W31" s="76"/>
      <c r="X31" s="76"/>
    </row>
    <row r="32" spans="1:24" x14ac:dyDescent="0.4">
      <c r="A32" s="76"/>
      <c r="B32" s="104">
        <v>13</v>
      </c>
      <c r="C32" s="25"/>
      <c r="D32" s="26"/>
      <c r="E32" s="76"/>
      <c r="F32" s="76" t="s">
        <v>56</v>
      </c>
      <c r="G32" s="76">
        <f>P15+((P16-P15)/60)*(L22+N22/60)</f>
        <v>-18.712309598438708</v>
      </c>
      <c r="H32" s="76"/>
      <c r="I32" s="110" t="s">
        <v>13</v>
      </c>
      <c r="J32" s="76"/>
      <c r="K32" s="76"/>
      <c r="L32" s="111">
        <f>((J31+L31/60)-(J30+L30/60))*60</f>
        <v>17.429329748718203</v>
      </c>
      <c r="M32" s="76"/>
      <c r="N32" s="76" t="str">
        <f>IF(L32&lt;0,"N'ly","S'ly")</f>
        <v>S'ly</v>
      </c>
      <c r="O32" s="76"/>
      <c r="P32" s="76"/>
      <c r="Q32" s="76"/>
      <c r="R32" s="76"/>
      <c r="S32" s="76"/>
      <c r="T32" s="76"/>
      <c r="U32" s="76"/>
      <c r="V32" s="76"/>
      <c r="W32" s="76"/>
      <c r="X32" s="76"/>
    </row>
    <row r="33" spans="1:24" x14ac:dyDescent="0.4">
      <c r="A33" s="76"/>
      <c r="B33" s="104">
        <v>14</v>
      </c>
      <c r="C33" s="25"/>
      <c r="D33" s="26"/>
      <c r="E33" s="76"/>
      <c r="F33" s="76" t="s">
        <v>48</v>
      </c>
      <c r="G33" s="76">
        <f>(J24+(L24/60))+(J25+(L25/60))</f>
        <v>13.583333333333334</v>
      </c>
      <c r="H33" s="76"/>
      <c r="I33" s="110"/>
      <c r="J33" s="76"/>
      <c r="K33" s="76"/>
      <c r="L33" s="76"/>
      <c r="M33" s="76"/>
      <c r="N33" s="76"/>
      <c r="O33" s="76"/>
      <c r="P33" s="76"/>
      <c r="Q33" s="76"/>
      <c r="R33" s="76"/>
      <c r="S33" s="76"/>
      <c r="T33" s="76"/>
      <c r="U33" s="76"/>
      <c r="V33" s="76"/>
      <c r="W33" s="76"/>
      <c r="X33" s="76"/>
    </row>
    <row r="34" spans="1:24" ht="19.5" thickBot="1" x14ac:dyDescent="0.45">
      <c r="A34" s="76"/>
      <c r="B34" s="105">
        <v>15</v>
      </c>
      <c r="C34" s="31"/>
      <c r="D34" s="32"/>
      <c r="E34" s="76"/>
      <c r="F34" s="76" t="s">
        <v>51</v>
      </c>
      <c r="G34" s="231">
        <f>90-(G26-G32)</f>
        <v>64.43284450418804</v>
      </c>
      <c r="H34" s="76"/>
      <c r="I34" s="110" t="s">
        <v>85</v>
      </c>
      <c r="J34" s="111">
        <f>午前観測!R5/(SIN(RADIANS(午前観測!P32))*COS(RADIANS(正午観測!G26)))</f>
        <v>3.061705659692104</v>
      </c>
      <c r="K34" s="76"/>
      <c r="L34" s="111"/>
      <c r="M34" s="76"/>
      <c r="N34" s="76" t="s">
        <v>86</v>
      </c>
      <c r="O34" s="76"/>
      <c r="P34" s="111">
        <f>J34+(-L32*J35)</f>
        <v>-4.8261300435000827</v>
      </c>
      <c r="Q34" s="76"/>
      <c r="R34" s="76"/>
      <c r="S34" s="76"/>
      <c r="T34" s="76"/>
      <c r="U34" s="76"/>
      <c r="V34" s="76"/>
      <c r="W34" s="76"/>
      <c r="X34" s="76"/>
    </row>
    <row r="35" spans="1:24" x14ac:dyDescent="0.4">
      <c r="A35" s="76"/>
      <c r="B35" s="76"/>
      <c r="C35" s="76"/>
      <c r="D35" s="76"/>
      <c r="E35" s="76"/>
      <c r="F35" s="76"/>
      <c r="G35" s="76"/>
      <c r="H35" s="76"/>
      <c r="I35" s="110" t="s">
        <v>87</v>
      </c>
      <c r="J35" s="111">
        <f>-1*(1/(TAN(RADIANS(午前観測!P32))*COS(RADIANS(正午観測!G26))))</f>
        <v>0.45256104605928854</v>
      </c>
      <c r="K35" s="76"/>
      <c r="L35" s="76"/>
      <c r="M35" s="76"/>
      <c r="N35" s="76"/>
      <c r="O35" s="76"/>
      <c r="P35" s="76"/>
      <c r="Q35" s="76"/>
      <c r="R35" s="76"/>
      <c r="S35" s="76"/>
      <c r="T35" s="76"/>
      <c r="U35" s="76"/>
      <c r="V35" s="76"/>
      <c r="W35" s="76"/>
      <c r="X35" s="76"/>
    </row>
    <row r="36" spans="1:24" x14ac:dyDescent="0.4">
      <c r="A36" s="101"/>
      <c r="B36" s="101"/>
      <c r="C36" s="101"/>
      <c r="D36" s="101"/>
      <c r="E36" s="101"/>
      <c r="F36" s="101"/>
      <c r="G36" s="101"/>
      <c r="H36" s="101"/>
      <c r="I36" s="101"/>
      <c r="J36" s="101"/>
      <c r="K36" s="101"/>
      <c r="L36" s="101"/>
      <c r="M36" s="101"/>
      <c r="N36" s="101"/>
      <c r="O36" s="101"/>
      <c r="P36" s="101"/>
      <c r="Q36" s="101"/>
      <c r="R36" s="101"/>
      <c r="S36" s="101"/>
      <c r="T36" s="101"/>
      <c r="U36" s="101"/>
      <c r="V36" s="101"/>
      <c r="W36" s="101"/>
      <c r="X36" s="101"/>
    </row>
  </sheetData>
  <mergeCells count="17">
    <mergeCell ref="O26:P26"/>
    <mergeCell ref="I13:I14"/>
    <mergeCell ref="J13:O13"/>
    <mergeCell ref="B18:D18"/>
    <mergeCell ref="J14:O14"/>
    <mergeCell ref="S23:T23"/>
    <mergeCell ref="V23:W23"/>
    <mergeCell ref="A1:X1"/>
    <mergeCell ref="A2:X2"/>
    <mergeCell ref="P3:V3"/>
    <mergeCell ref="P4:Q4"/>
    <mergeCell ref="H5:H6"/>
    <mergeCell ref="B10:B12"/>
    <mergeCell ref="C10:F10"/>
    <mergeCell ref="C11:F11"/>
    <mergeCell ref="C12:D12"/>
    <mergeCell ref="E12:F12"/>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5D1F0-073D-4531-902D-AC89FAF93849}">
  <dimension ref="A1:AK42"/>
  <sheetViews>
    <sheetView zoomScale="78" workbookViewId="0">
      <selection activeCell="F8" sqref="F8"/>
    </sheetView>
  </sheetViews>
  <sheetFormatPr defaultRowHeight="18.75" x14ac:dyDescent="0.4"/>
  <cols>
    <col min="1" max="3" width="5.125" customWidth="1"/>
    <col min="4" max="4" width="5.875" customWidth="1"/>
    <col min="5" max="21" width="5.125" customWidth="1"/>
    <col min="22" max="22" width="6.125" customWidth="1"/>
    <col min="23" max="37" width="5.125" customWidth="1"/>
  </cols>
  <sheetData>
    <row r="1" spans="1:37" ht="3.75" customHeight="1" thickTop="1" x14ac:dyDescent="0.4">
      <c r="A1" s="262"/>
      <c r="B1" s="263"/>
      <c r="C1" s="263"/>
      <c r="D1" s="263"/>
      <c r="E1" s="263"/>
      <c r="F1" s="263"/>
      <c r="G1" s="263"/>
      <c r="H1" s="263"/>
      <c r="I1" s="264"/>
      <c r="J1" s="263"/>
      <c r="K1" s="263"/>
      <c r="L1" s="265"/>
      <c r="M1" s="263"/>
      <c r="N1" s="265"/>
      <c r="O1" s="263"/>
      <c r="P1" s="263"/>
      <c r="Q1" s="263"/>
      <c r="R1" s="266"/>
      <c r="S1" s="262"/>
      <c r="T1" s="263"/>
      <c r="U1" s="263"/>
      <c r="V1" s="263"/>
      <c r="W1" s="263"/>
      <c r="X1" s="263"/>
      <c r="Y1" s="263"/>
      <c r="Z1" s="263"/>
      <c r="AA1" s="263"/>
      <c r="AB1" s="264"/>
      <c r="AC1" s="263"/>
      <c r="AD1" s="263"/>
      <c r="AE1" s="263"/>
      <c r="AF1" s="263"/>
      <c r="AG1" s="263"/>
      <c r="AH1" s="263"/>
      <c r="AI1" s="263"/>
      <c r="AJ1" s="263"/>
      <c r="AK1" s="266"/>
    </row>
    <row r="2" spans="1:37" x14ac:dyDescent="0.4">
      <c r="A2" s="267" t="s">
        <v>88</v>
      </c>
      <c r="B2" s="127"/>
      <c r="C2" s="127"/>
      <c r="D2" s="127"/>
      <c r="E2" s="127"/>
      <c r="F2" s="127"/>
      <c r="G2" s="127"/>
      <c r="H2" s="127"/>
      <c r="I2" s="127"/>
      <c r="J2" s="127"/>
      <c r="K2" s="127"/>
      <c r="L2" s="127"/>
      <c r="M2" s="127"/>
      <c r="N2" s="127"/>
      <c r="O2" s="127"/>
      <c r="P2" s="127"/>
      <c r="Q2" s="127"/>
      <c r="R2" s="268"/>
      <c r="S2" s="267" t="s">
        <v>89</v>
      </c>
      <c r="T2" s="127"/>
      <c r="U2" s="127"/>
      <c r="V2" s="127"/>
      <c r="W2" s="127"/>
      <c r="X2" s="127"/>
      <c r="Y2" s="127"/>
      <c r="Z2" s="127"/>
      <c r="AA2" s="127"/>
      <c r="AB2" s="127"/>
      <c r="AC2" s="127"/>
      <c r="AD2" s="127"/>
      <c r="AE2" s="127"/>
      <c r="AF2" s="127"/>
      <c r="AG2" s="127"/>
      <c r="AH2" s="127"/>
      <c r="AI2" s="127"/>
      <c r="AJ2" s="127"/>
      <c r="AK2" s="268"/>
    </row>
    <row r="3" spans="1:37" x14ac:dyDescent="0.4">
      <c r="A3" s="269"/>
      <c r="B3" s="110" t="str">
        <f>午前観測!G3&amp;IF(午前観測!G3=1,"st",IF(午前観測!G3=2,"nd",IF(午前観測!G3=3,"rd","th")))</f>
        <v>5th</v>
      </c>
      <c r="C3" s="110" t="s">
        <v>54</v>
      </c>
      <c r="D3" s="110" t="str" cm="1">
        <f t="array" ref="D3">IF(午前観測!E3=1,"JAN.",IF(午前観測!E3=2,"FEB",IF(午前観測!E3=3,"MAR",IF(午前観測!E3=4,"APR",IF(午前観測!E3=5,"MAR",IF(午前観測!E3=6,"JUN",IF(午前観測!E3=7,"JUL",IF(午前観測!E3=8,"AUG",IF(午前観測!E3=9,"SEP",IF(午前観測!E3=10,"OCT",IF(午前観測!E3=11,"NOV",IF(午前観測!E3=12,"DEC",Error))))))))))))</f>
        <v>FEB</v>
      </c>
      <c r="E3" s="270" t="str">
        <f>午前観測!I3</f>
        <v>1020</v>
      </c>
      <c r="F3" s="110" t="s">
        <v>5</v>
      </c>
      <c r="G3" s="110"/>
      <c r="H3" s="110"/>
      <c r="I3" s="84"/>
      <c r="J3" s="110"/>
      <c r="K3" s="110" t="s">
        <v>19</v>
      </c>
      <c r="L3" s="158">
        <f>午前観測!J9</f>
        <v>0</v>
      </c>
      <c r="M3" s="110" t="s">
        <v>76</v>
      </c>
      <c r="N3" s="271">
        <f>午前観測!L9</f>
        <v>31</v>
      </c>
      <c r="O3" s="110" t="s">
        <v>77</v>
      </c>
      <c r="P3" s="110">
        <f>午前観測!N9</f>
        <v>31</v>
      </c>
      <c r="Q3" s="272" t="s">
        <v>41</v>
      </c>
      <c r="R3" s="273"/>
      <c r="S3" s="269"/>
      <c r="T3" s="110" t="str">
        <f>" N/"&amp;正午観測!B14</f>
        <v xml:space="preserve"> N/5</v>
      </c>
      <c r="U3" s="110"/>
      <c r="V3" s="110"/>
      <c r="W3" s="110"/>
      <c r="X3" s="110"/>
      <c r="Y3" s="110"/>
      <c r="Z3" s="110"/>
      <c r="AA3" s="110"/>
      <c r="AB3" s="84"/>
      <c r="AC3" s="110"/>
      <c r="AD3" s="110"/>
      <c r="AE3" s="110"/>
      <c r="AF3" s="110"/>
      <c r="AG3" s="110"/>
      <c r="AH3" s="110"/>
      <c r="AI3" s="110"/>
      <c r="AJ3" s="110"/>
      <c r="AK3" s="273"/>
    </row>
    <row r="4" spans="1:37" x14ac:dyDescent="0.4">
      <c r="A4" s="274" t="s">
        <v>90</v>
      </c>
      <c r="B4" s="275" t="s">
        <v>17</v>
      </c>
      <c r="C4" s="275"/>
      <c r="D4" s="276">
        <f>午前観測!C8</f>
        <v>27.6</v>
      </c>
      <c r="E4" s="275" t="s">
        <v>91</v>
      </c>
      <c r="F4" s="275"/>
      <c r="G4" s="275"/>
      <c r="H4" s="275"/>
      <c r="I4" s="277"/>
      <c r="J4" s="110"/>
      <c r="K4" s="110" t="s">
        <v>44</v>
      </c>
      <c r="L4" s="158">
        <f>午前観測!J19</f>
        <v>184</v>
      </c>
      <c r="M4" s="110" t="s">
        <v>9</v>
      </c>
      <c r="N4" s="158">
        <f>午前観測!L19</f>
        <v>45.902527777777209</v>
      </c>
      <c r="O4" s="110" t="s">
        <v>10</v>
      </c>
      <c r="P4" s="110"/>
      <c r="Q4" s="110"/>
      <c r="R4" s="273"/>
      <c r="S4" s="274" t="s">
        <v>92</v>
      </c>
      <c r="T4" s="275" t="s">
        <v>93</v>
      </c>
      <c r="U4" s="275"/>
      <c r="V4" s="278">
        <f>正午観測!C8</f>
        <v>27.8</v>
      </c>
      <c r="W4" s="275" t="s">
        <v>94</v>
      </c>
      <c r="X4" s="275"/>
      <c r="Y4" s="275"/>
      <c r="Z4" s="275"/>
      <c r="AA4" s="275"/>
      <c r="AB4" s="277"/>
      <c r="AC4" s="110"/>
      <c r="AD4" s="110" t="s">
        <v>51</v>
      </c>
      <c r="AE4" s="110">
        <f>正午観測!J26</f>
        <v>64</v>
      </c>
      <c r="AF4" s="110" t="s">
        <v>9</v>
      </c>
      <c r="AG4" s="279">
        <f>正午観測!L26</f>
        <v>25.970670251282399</v>
      </c>
      <c r="AH4" s="110" t="s">
        <v>10</v>
      </c>
      <c r="AI4" s="110"/>
      <c r="AJ4" s="110"/>
      <c r="AK4" s="273"/>
    </row>
    <row r="5" spans="1:37" x14ac:dyDescent="0.4">
      <c r="A5" s="280"/>
      <c r="B5" s="110" t="s">
        <v>18</v>
      </c>
      <c r="C5" s="110"/>
      <c r="D5" s="281">
        <f>午前観測!E8</f>
        <v>1008.3</v>
      </c>
      <c r="E5" s="110" t="s">
        <v>95</v>
      </c>
      <c r="F5" s="110"/>
      <c r="G5" s="110"/>
      <c r="H5" s="110"/>
      <c r="I5" s="84"/>
      <c r="J5" s="110"/>
      <c r="K5" s="196" t="s">
        <v>14</v>
      </c>
      <c r="L5" s="282">
        <f>D32</f>
        <v>114</v>
      </c>
      <c r="M5" s="196" t="s">
        <v>9</v>
      </c>
      <c r="N5" s="283">
        <f>F32</f>
        <v>10.502390060213145</v>
      </c>
      <c r="O5" s="196" t="s">
        <v>10</v>
      </c>
      <c r="P5" s="196"/>
      <c r="Q5" s="196"/>
      <c r="R5" s="273"/>
      <c r="S5" s="280"/>
      <c r="T5" s="110" t="s">
        <v>96</v>
      </c>
      <c r="U5" s="110"/>
      <c r="V5" s="279">
        <f>正午観測!E8</f>
        <v>1009.6</v>
      </c>
      <c r="W5" s="110" t="s">
        <v>97</v>
      </c>
      <c r="X5" s="110"/>
      <c r="Y5" s="110"/>
      <c r="Z5" s="110"/>
      <c r="AA5" s="110"/>
      <c r="AB5" s="84"/>
      <c r="AC5" s="110"/>
      <c r="AD5" s="110" t="s">
        <v>53</v>
      </c>
      <c r="AE5" s="110"/>
      <c r="AF5" s="110" t="str">
        <f>正午観測!K27</f>
        <v>-</v>
      </c>
      <c r="AG5" s="110">
        <f>正午観測!L27</f>
        <v>15.7</v>
      </c>
      <c r="AH5" s="110"/>
      <c r="AI5" s="110"/>
      <c r="AJ5" s="110"/>
      <c r="AK5" s="273"/>
    </row>
    <row r="6" spans="1:37" x14ac:dyDescent="0.4">
      <c r="A6" s="284"/>
      <c r="B6" s="285" t="s">
        <v>98</v>
      </c>
      <c r="C6" s="285"/>
      <c r="D6" s="286">
        <f>午前観測!G8</f>
        <v>7</v>
      </c>
      <c r="E6" s="285" t="s">
        <v>69</v>
      </c>
      <c r="F6" s="285"/>
      <c r="G6" s="285"/>
      <c r="H6" s="285"/>
      <c r="I6" s="287"/>
      <c r="J6" s="110"/>
      <c r="K6" s="110" t="s">
        <v>48</v>
      </c>
      <c r="L6" s="158">
        <f>午前観測!J21</f>
        <v>298</v>
      </c>
      <c r="M6" s="110" t="s">
        <v>9</v>
      </c>
      <c r="N6" s="281">
        <f>午前観測!L21</f>
        <v>56.404917837991206</v>
      </c>
      <c r="O6" s="110" t="s">
        <v>10</v>
      </c>
      <c r="P6" s="110"/>
      <c r="Q6" s="110"/>
      <c r="R6" s="273"/>
      <c r="S6" s="280"/>
      <c r="T6" s="110" t="s">
        <v>99</v>
      </c>
      <c r="U6" s="110"/>
      <c r="V6" s="110">
        <f>正午観測!G8</f>
        <v>7</v>
      </c>
      <c r="W6" s="110" t="s">
        <v>100</v>
      </c>
      <c r="X6" s="110"/>
      <c r="Y6" s="110"/>
      <c r="Z6" s="110"/>
      <c r="AA6" s="110"/>
      <c r="AB6" s="84"/>
      <c r="AC6" s="110"/>
      <c r="AD6" s="110" t="s">
        <v>57</v>
      </c>
      <c r="AE6" s="110"/>
      <c r="AF6" s="110" t="str">
        <f>正午観測!K28</f>
        <v>+</v>
      </c>
      <c r="AG6" s="110">
        <f>正午観測!L28</f>
        <v>4.7</v>
      </c>
      <c r="AH6" s="110"/>
      <c r="AI6" s="110"/>
      <c r="AJ6" s="110"/>
      <c r="AK6" s="273"/>
    </row>
    <row r="7" spans="1:37" x14ac:dyDescent="0.15">
      <c r="A7" s="269"/>
      <c r="B7" s="288" t="s">
        <v>30</v>
      </c>
      <c r="C7" s="110"/>
      <c r="D7" s="288" t="s">
        <v>31</v>
      </c>
      <c r="E7" s="110"/>
      <c r="F7" s="110"/>
      <c r="G7" s="110"/>
      <c r="H7" s="110"/>
      <c r="I7" s="84"/>
      <c r="J7" s="110"/>
      <c r="K7" s="110"/>
      <c r="L7" s="158"/>
      <c r="M7" s="110"/>
      <c r="N7" s="158"/>
      <c r="O7" s="110"/>
      <c r="P7" s="110"/>
      <c r="Q7" s="110"/>
      <c r="R7" s="273"/>
      <c r="S7" s="289"/>
      <c r="T7" s="275" t="s">
        <v>101</v>
      </c>
      <c r="U7" s="275"/>
      <c r="V7" s="275" t="s">
        <v>102</v>
      </c>
      <c r="W7" s="275"/>
      <c r="X7" s="275"/>
      <c r="Y7" s="275"/>
      <c r="Z7" s="275"/>
      <c r="AA7" s="275"/>
      <c r="AB7" s="277"/>
      <c r="AC7" s="110"/>
      <c r="AD7" s="196" t="s">
        <v>59</v>
      </c>
      <c r="AE7" s="196"/>
      <c r="AF7" s="196" t="str">
        <f>正午観測!K29</f>
        <v>+</v>
      </c>
      <c r="AG7" s="196">
        <f>正午観測!L29</f>
        <v>0</v>
      </c>
      <c r="AH7" s="196"/>
      <c r="AI7" s="196"/>
      <c r="AJ7" s="110"/>
      <c r="AK7" s="273"/>
    </row>
    <row r="8" spans="1:37" x14ac:dyDescent="0.4">
      <c r="A8" s="280" t="s">
        <v>27</v>
      </c>
      <c r="B8" s="110" t="str">
        <f>IF(午前観測!C15&lt;&gt;"","&lt;"&amp;午前観測!C15&amp;"&gt;","")</f>
        <v>&lt;058&gt;</v>
      </c>
      <c r="C8" s="110"/>
      <c r="D8" s="158">
        <f>IF(B8&lt;&gt;"",午前観測!D15,"")</f>
        <v>72</v>
      </c>
      <c r="E8" s="110" t="str">
        <f>IF(D9="","l","")</f>
        <v/>
      </c>
      <c r="F8" s="110" t="str">
        <f>IF(E8="","",SUM(D$8:D8))</f>
        <v/>
      </c>
      <c r="G8" s="110"/>
      <c r="H8" s="110"/>
      <c r="I8" s="84"/>
      <c r="J8" s="110"/>
      <c r="K8" s="110" t="s">
        <v>56</v>
      </c>
      <c r="L8" s="158" t="str">
        <f>IF(午前観測!G25&gt;0,"N　","S　")&amp;ABS(TRUNC(午前観測!G25))</f>
        <v>S　18</v>
      </c>
      <c r="M8" s="110" t="s">
        <v>9</v>
      </c>
      <c r="N8" s="281">
        <f>ABS((午前観測!G25-TRUNC(午前観測!G25))*60)</f>
        <v>42.515166666666602</v>
      </c>
      <c r="O8" s="110" t="s">
        <v>10</v>
      </c>
      <c r="P8" s="110"/>
      <c r="Q8" s="110"/>
      <c r="R8" s="273"/>
      <c r="S8" s="280" t="s">
        <v>103</v>
      </c>
      <c r="T8" s="110" t="str">
        <f>IF(正午観測!C20&lt;&gt;"","&lt;"&amp;正午観測!C20&amp;"&gt;","")</f>
        <v>&lt;058&gt;</v>
      </c>
      <c r="U8" s="110"/>
      <c r="V8" s="158">
        <f>IF(T8&lt;&gt;"",正午観測!D20,"")</f>
        <v>2.7</v>
      </c>
      <c r="W8" s="110" t="str">
        <f>IF(V9="","l","")</f>
        <v/>
      </c>
      <c r="X8" s="110" t="str">
        <f>IF(W8="","",SUM(V$8:V8)+SUM($F$8:$F$22))</f>
        <v/>
      </c>
      <c r="Y8" s="110"/>
      <c r="Z8" s="110"/>
      <c r="AA8" s="110"/>
      <c r="AB8" s="84"/>
      <c r="AC8" s="110"/>
      <c r="AD8" s="110" t="s">
        <v>50</v>
      </c>
      <c r="AE8" s="110">
        <f>正午観測!J30</f>
        <v>64</v>
      </c>
      <c r="AF8" s="110" t="s">
        <v>9</v>
      </c>
      <c r="AG8" s="110">
        <f>正午観測!L30</f>
        <v>14.970670251282172</v>
      </c>
      <c r="AH8" s="110" t="s">
        <v>104</v>
      </c>
      <c r="AI8" s="110"/>
      <c r="AJ8" s="110"/>
      <c r="AK8" s="273"/>
    </row>
    <row r="9" spans="1:37" x14ac:dyDescent="0.4">
      <c r="A9" s="280"/>
      <c r="B9" s="110" t="str">
        <f>IF(午前観測!C16&lt;&gt;"","&lt;"&amp;午前観測!C16&amp;"&gt;","")</f>
        <v>&lt;072&gt;</v>
      </c>
      <c r="C9" s="110"/>
      <c r="D9" s="158">
        <f>IF(B9&lt;&gt;"",午前観測!D16,"")</f>
        <v>56</v>
      </c>
      <c r="E9" s="110" t="str">
        <f>IF(E8&lt;&gt;"l",IF(D10="","l",""),"")</f>
        <v/>
      </c>
      <c r="F9" s="110" t="str">
        <f>IF(E9="","",SUM(D$8:D9))</f>
        <v/>
      </c>
      <c r="G9" s="110"/>
      <c r="H9" s="110"/>
      <c r="I9" s="84"/>
      <c r="J9" s="110"/>
      <c r="K9" s="110"/>
      <c r="L9" s="158"/>
      <c r="M9" s="110"/>
      <c r="N9" s="158"/>
      <c r="O9" s="110"/>
      <c r="P9" s="110"/>
      <c r="Q9" s="110"/>
      <c r="R9" s="273"/>
      <c r="S9" s="280"/>
      <c r="T9" s="110" t="str">
        <f>IF(正午観測!C21&lt;&gt;"","&lt;"&amp;正午観測!C21&amp;"&gt;","")</f>
        <v>&lt;030&gt;</v>
      </c>
      <c r="U9" s="110"/>
      <c r="V9" s="158">
        <f>IF(T9&lt;&gt;"",正午観測!D21,"")</f>
        <v>3</v>
      </c>
      <c r="W9" s="110" t="str">
        <f>IF(W8&lt;&gt;"l",IF(V10="","l",""),"")</f>
        <v/>
      </c>
      <c r="X9" s="110" t="str">
        <f>IF(W9="","",SUM(V$8:V9)+SUM($F$8:$F$22))</f>
        <v/>
      </c>
      <c r="Y9" s="110"/>
      <c r="Z9" s="110"/>
      <c r="AA9" s="110"/>
      <c r="AB9" s="84"/>
      <c r="AC9" s="110"/>
      <c r="AD9" s="196" t="s">
        <v>20</v>
      </c>
      <c r="AE9" s="196">
        <f>正午観測!J8</f>
        <v>64</v>
      </c>
      <c r="AF9" s="196" t="s">
        <v>9</v>
      </c>
      <c r="AG9" s="196">
        <f>正午観測!L8</f>
        <v>32.4</v>
      </c>
      <c r="AH9" s="196" t="s">
        <v>104</v>
      </c>
      <c r="AI9" s="196"/>
      <c r="AJ9" s="110"/>
      <c r="AK9" s="273"/>
    </row>
    <row r="10" spans="1:37" x14ac:dyDescent="0.4">
      <c r="A10" s="280"/>
      <c r="B10" s="110" t="str">
        <f>IF(午前観測!C17&lt;&gt;"","&lt;"&amp;午前観測!C17&amp;"&gt;","")</f>
        <v>&lt;067&gt;</v>
      </c>
      <c r="C10" s="110"/>
      <c r="D10" s="158">
        <f>IF(B10&lt;&gt;"",午前観測!D17,"")</f>
        <v>42</v>
      </c>
      <c r="E10" s="110" t="str">
        <f>IF(AND(E8&lt;&gt;"l",E9&lt;&gt;"l"),IF(D11="","l",""),"")</f>
        <v/>
      </c>
      <c r="F10" s="110" t="str">
        <f>IF(E10="","",SUM(D$8:D10))</f>
        <v/>
      </c>
      <c r="G10" s="110"/>
      <c r="H10" s="110"/>
      <c r="I10" s="84"/>
      <c r="J10" s="110"/>
      <c r="K10" s="110" t="s">
        <v>51</v>
      </c>
      <c r="L10" s="158">
        <f>午前観測!J23</f>
        <v>24</v>
      </c>
      <c r="M10" s="110" t="s">
        <v>9</v>
      </c>
      <c r="N10" s="281">
        <f>午前観測!L23</f>
        <v>40.290190905269938</v>
      </c>
      <c r="O10" s="110" t="s">
        <v>10</v>
      </c>
      <c r="P10" s="110"/>
      <c r="Q10" s="110"/>
      <c r="R10" s="273"/>
      <c r="S10" s="280"/>
      <c r="T10" s="110" t="str">
        <f>IF(正午観測!C22&lt;&gt;"","&lt;"&amp;正午観測!C22&amp;"&gt;","")</f>
        <v>&lt;068&gt;</v>
      </c>
      <c r="U10" s="110"/>
      <c r="V10" s="158">
        <f>IF(T10&lt;&gt;"",正午観測!D22,"")</f>
        <v>5.2</v>
      </c>
      <c r="W10" s="110" t="str">
        <f>IF(AND(W8&lt;&gt;"l",W9&lt;&gt;"l"),IF(V11="","l",""),"")</f>
        <v>l</v>
      </c>
      <c r="X10" s="110">
        <f>IF(W10="","",SUM(V$8:V10)+SUM($F$8:$F$22))</f>
        <v>228.20000000000002</v>
      </c>
      <c r="Y10" s="110"/>
      <c r="Z10" s="110"/>
      <c r="AA10" s="110"/>
      <c r="AB10" s="84"/>
      <c r="AC10" s="110"/>
      <c r="AD10" s="110" t="s">
        <v>13</v>
      </c>
      <c r="AE10" s="110"/>
      <c r="AF10" s="110" t="str">
        <f>IF(正午観測!L32&gt;=0,"+","-")</f>
        <v>+</v>
      </c>
      <c r="AG10" s="279">
        <f>ABS(正午観測!L32)</f>
        <v>17.429329748718203</v>
      </c>
      <c r="AH10" s="110" t="s">
        <v>104</v>
      </c>
      <c r="AI10" s="110" t="str">
        <f>正午観測!N32</f>
        <v>S'ly</v>
      </c>
      <c r="AJ10" s="110"/>
      <c r="AK10" s="273"/>
    </row>
    <row r="11" spans="1:37" x14ac:dyDescent="0.4">
      <c r="A11" s="280"/>
      <c r="B11" s="110" t="str">
        <f>IF(午前観測!C18&lt;&gt;"","&lt;"&amp;午前観測!C18&amp;"&gt;","")</f>
        <v>&lt;075&gt;</v>
      </c>
      <c r="C11" s="110"/>
      <c r="D11" s="158">
        <f>IF(B11&lt;&gt;"",午前観測!D18,"")</f>
        <v>5</v>
      </c>
      <c r="E11" s="110" t="str">
        <f>IF(AND(E8&lt;&gt;"l",E9&lt;&gt;"l",E10&lt;&gt;"l"),IF(D12="","l",""),"")</f>
        <v/>
      </c>
      <c r="F11" s="110" t="str">
        <f>IF(E11="","",SUM(D$8:D11))</f>
        <v/>
      </c>
      <c r="G11" s="110"/>
      <c r="H11" s="110"/>
      <c r="I11" s="290" t="s">
        <v>105</v>
      </c>
      <c r="J11" s="110"/>
      <c r="K11" s="110" t="s">
        <v>53</v>
      </c>
      <c r="L11" s="158"/>
      <c r="M11" s="110" t="str">
        <f>午前観測!K24</f>
        <v>-</v>
      </c>
      <c r="N11" s="281">
        <f>午前観測!L24</f>
        <v>14.2</v>
      </c>
      <c r="O11" s="110" t="s">
        <v>10</v>
      </c>
      <c r="P11" s="110"/>
      <c r="Q11" s="110"/>
      <c r="R11" s="273"/>
      <c r="S11" s="280"/>
      <c r="T11" s="110" t="str">
        <f>IF(正午観測!C23&lt;&gt;"","&lt;"&amp;正午観測!C23&amp;"&gt;","")</f>
        <v/>
      </c>
      <c r="U11" s="110"/>
      <c r="V11" s="158" t="str">
        <f>IF(T11&lt;&gt;"",正午観測!D23,"")</f>
        <v/>
      </c>
      <c r="W11" s="110" t="str">
        <f>IF(AND(W8&lt;&gt;"l",W9&lt;&gt;"l",W10&lt;&gt;"l"),IF(V12="","l",""),"")</f>
        <v/>
      </c>
      <c r="X11" s="110" t="str">
        <f>IF(W11="","",SUM(V$8:V11)+SUM($F$8:$F$22))</f>
        <v/>
      </c>
      <c r="Y11" s="110"/>
      <c r="Z11" s="110"/>
      <c r="AA11" s="110"/>
      <c r="AB11" s="84" t="s">
        <v>105</v>
      </c>
      <c r="AC11" s="110"/>
      <c r="AD11" s="110"/>
      <c r="AE11" s="110"/>
      <c r="AF11" s="110"/>
      <c r="AG11" s="110"/>
      <c r="AH11" s="110"/>
      <c r="AI11" s="110"/>
      <c r="AJ11" s="110"/>
      <c r="AK11" s="273"/>
    </row>
    <row r="12" spans="1:37" x14ac:dyDescent="0.4">
      <c r="A12" s="280"/>
      <c r="B12" s="110" t="str">
        <f>IF(午前観測!C19&lt;&gt;"","&lt;"&amp;午前観測!C19&amp;"&gt;","")</f>
        <v>&lt;060&gt;</v>
      </c>
      <c r="C12" s="110"/>
      <c r="D12" s="158">
        <f>IF(B12&lt;&gt;"",午前観測!D19,"")</f>
        <v>42.3</v>
      </c>
      <c r="E12" s="110" t="str">
        <f>IF(AND(E8&lt;&gt;"l",E9&lt;&gt;"l",E10&lt;&gt;"l",E11&lt;&gt;"l"),IF(D13="","l",""),"")</f>
        <v>l</v>
      </c>
      <c r="F12" s="279">
        <f>IF(E12="","",SUM(D$8:D12))</f>
        <v>217.3</v>
      </c>
      <c r="G12" s="110"/>
      <c r="H12" s="110"/>
      <c r="I12" s="84"/>
      <c r="J12" s="110"/>
      <c r="K12" s="110" t="s">
        <v>57</v>
      </c>
      <c r="L12" s="158"/>
      <c r="M12" s="110" t="str">
        <f>午前観測!K25</f>
        <v>+</v>
      </c>
      <c r="N12" s="281">
        <f>午前観測!L25</f>
        <v>4.7</v>
      </c>
      <c r="O12" s="110" t="s">
        <v>10</v>
      </c>
      <c r="P12" s="110"/>
      <c r="Q12" s="110"/>
      <c r="R12" s="273"/>
      <c r="S12" s="280"/>
      <c r="T12" s="110" t="str">
        <f>IF(正午観測!C24&lt;&gt;"","&lt;"&amp;正午観測!C24&amp;"&gt;","")</f>
        <v/>
      </c>
      <c r="U12" s="110"/>
      <c r="V12" s="158" t="str">
        <f>IF(T12&lt;&gt;"",正午観測!D24,"")</f>
        <v/>
      </c>
      <c r="W12" s="110" t="str">
        <f>IF(AND(W8&lt;&gt;"l",W9&lt;&gt;"l",W10&lt;&gt;"l",W11&lt;&gt;"l"),"l","")</f>
        <v/>
      </c>
      <c r="X12" s="110" t="str">
        <f>IF(W12="","",SUM(V$8:V12)+SUM($F$8:$F$22))</f>
        <v/>
      </c>
      <c r="Y12" s="110"/>
      <c r="Z12" s="110"/>
      <c r="AA12" s="110"/>
      <c r="AB12" s="84"/>
      <c r="AC12" s="110"/>
      <c r="AD12" s="110"/>
      <c r="AE12" s="110"/>
      <c r="AF12" s="110"/>
      <c r="AG12" s="110"/>
      <c r="AH12" s="110"/>
      <c r="AI12" s="110"/>
      <c r="AJ12" s="110"/>
      <c r="AK12" s="273"/>
    </row>
    <row r="13" spans="1:37" x14ac:dyDescent="0.4">
      <c r="A13" s="280"/>
      <c r="B13" s="110" t="str">
        <f>IF(午前観測!C20&lt;&gt;"","&lt;"&amp;午前観測!C20&amp;"&gt;","")</f>
        <v/>
      </c>
      <c r="C13" s="110"/>
      <c r="D13" s="158" t="str">
        <f>IF(B13&lt;&gt;"",午前観測!D20,"")</f>
        <v/>
      </c>
      <c r="E13" s="110" t="str">
        <f>IF(AND(E8&lt;&gt;"l",E9&lt;&gt;"l",E10&lt;&gt;"l",E11&lt;&gt;"l",E12&lt;&gt;"l"),IF(D14="","l",""),"")</f>
        <v/>
      </c>
      <c r="F13" s="110" t="str">
        <f>IF(E13="","",SUM(D$8:D13))</f>
        <v/>
      </c>
      <c r="G13" s="110"/>
      <c r="H13" s="110"/>
      <c r="I13" s="84"/>
      <c r="J13" s="110"/>
      <c r="K13" s="196" t="s">
        <v>59</v>
      </c>
      <c r="L13" s="282"/>
      <c r="M13" s="196" t="str">
        <f>午前観測!K26</f>
        <v>+</v>
      </c>
      <c r="N13" s="283">
        <f>午前観測!L26</f>
        <v>0.1</v>
      </c>
      <c r="O13" s="196" t="s">
        <v>10</v>
      </c>
      <c r="P13" s="196"/>
      <c r="Q13" s="196"/>
      <c r="R13" s="273"/>
      <c r="S13" s="280"/>
      <c r="T13" s="110" t="str">
        <f>IF(正午観測!C25&lt;&gt;"","&lt;"&amp;正午観測!C25&amp;"&gt;","")</f>
        <v/>
      </c>
      <c r="U13" s="110"/>
      <c r="V13" s="158" t="str">
        <f>IF(T13&lt;&gt;"",正午観測!D25,"")</f>
        <v/>
      </c>
      <c r="W13" s="110" t="str">
        <f>IF(AND(W8&lt;&gt;"l",W9&lt;&gt;"l",W10&lt;&gt;"l",W11&lt;&gt;"l",W12&lt;&gt;"l"),"l","")</f>
        <v/>
      </c>
      <c r="X13" s="110" t="str">
        <f>IF(W13="","",SUM(V$8:V13)+SUM($F$8:$F$22))</f>
        <v/>
      </c>
      <c r="Y13" s="110"/>
      <c r="Z13" s="110"/>
      <c r="AA13" s="110"/>
      <c r="AB13" s="84"/>
      <c r="AC13" s="110"/>
      <c r="AD13" s="110" t="s">
        <v>85</v>
      </c>
      <c r="AE13" s="279">
        <f>正午観測!J34</f>
        <v>3.061705659692104</v>
      </c>
      <c r="AF13" s="110"/>
      <c r="AG13" s="110" t="str">
        <f>IF(正午観測!J34&gt;=0,"E'ly","W'ly")</f>
        <v>E'ly</v>
      </c>
      <c r="AH13" s="110"/>
      <c r="AI13" s="110"/>
      <c r="AJ13" s="110"/>
      <c r="AK13" s="273"/>
    </row>
    <row r="14" spans="1:37" x14ac:dyDescent="0.4">
      <c r="A14" s="280"/>
      <c r="B14" s="110" t="str">
        <f>IF(午前観測!C21&lt;&gt;"","&lt;"&amp;午前観測!C21&amp;"&gt;","")</f>
        <v/>
      </c>
      <c r="C14" s="110"/>
      <c r="D14" s="158" t="str">
        <f>IF(B14&lt;&gt;"",午前観測!D21,"")</f>
        <v/>
      </c>
      <c r="E14" s="110" t="str">
        <f>IF(AND(E8&lt;&gt;"l",E9&lt;&gt;"l",E10&lt;&gt;"l",E11&lt;&gt;"l",E12&lt;&gt;"l",E13&lt;&gt;"l"),IF(D15="","l",""),"")</f>
        <v/>
      </c>
      <c r="F14" s="110" t="str">
        <f>IF(E14="","",SUM(D$8:D14))</f>
        <v/>
      </c>
      <c r="G14" s="110"/>
      <c r="H14" s="110"/>
      <c r="I14" s="84"/>
      <c r="J14" s="110"/>
      <c r="K14" s="110" t="s">
        <v>50</v>
      </c>
      <c r="L14" s="158">
        <f>午前観測!J27</f>
        <v>24</v>
      </c>
      <c r="M14" s="110" t="s">
        <v>9</v>
      </c>
      <c r="N14" s="281">
        <f>午前観測!L27</f>
        <v>30.890190905269748</v>
      </c>
      <c r="O14" s="110" t="s">
        <v>10</v>
      </c>
      <c r="P14" s="110"/>
      <c r="Q14" s="110"/>
      <c r="R14" s="273"/>
      <c r="S14" s="280"/>
      <c r="T14" s="110" t="str">
        <f>IF(正午観測!C26&lt;&gt;"","&lt;"&amp;正午観測!C26&amp;"&gt;","")</f>
        <v/>
      </c>
      <c r="U14" s="110"/>
      <c r="V14" s="158" t="str">
        <f>IF(T14&lt;&gt;"",正午観測!D26,"")</f>
        <v/>
      </c>
      <c r="W14" s="110" t="str">
        <f>IF(AND(W8&lt;&gt;"l",W9&lt;&gt;"l",W10&lt;&gt;"l",W11&lt;&gt;"l",W12&lt;&gt;"l",W13&lt;&gt;"l"),"l","")</f>
        <v/>
      </c>
      <c r="X14" s="110" t="str">
        <f>IF(W14="","",SUM(V$8:V14)+SUM($F$8:$F$22))</f>
        <v/>
      </c>
      <c r="Y14" s="110"/>
      <c r="Z14" s="110"/>
      <c r="AA14" s="110"/>
      <c r="AB14" s="84"/>
      <c r="AC14" s="110"/>
      <c r="AD14" s="110" t="s">
        <v>87</v>
      </c>
      <c r="AE14" s="279">
        <f>正午観測!J35</f>
        <v>0.45256104605928854</v>
      </c>
      <c r="AF14" s="110"/>
      <c r="AG14" s="110"/>
      <c r="AH14" s="110"/>
      <c r="AI14" s="110"/>
      <c r="AJ14" s="110"/>
      <c r="AK14" s="273"/>
    </row>
    <row r="15" spans="1:37" x14ac:dyDescent="0.4">
      <c r="A15" s="280"/>
      <c r="B15" s="110" t="str">
        <f>IF(午前観測!C22&lt;&gt;"","&lt;"&amp;午前観測!C22&amp;"&gt;","")</f>
        <v/>
      </c>
      <c r="C15" s="110"/>
      <c r="D15" s="158" t="str">
        <f>IF(B15&lt;&gt;"",午前観測!D22,"")</f>
        <v/>
      </c>
      <c r="E15" s="110" t="str">
        <f>IF(AND(E8&lt;&gt;"l",E9&lt;&gt;"l",E10&lt;&gt;"l",E11&lt;&gt;"l",E12&lt;&gt;"l",E13&lt;&gt;"l",E14&lt;&gt;"l"),IF(D16="","l",""),"")</f>
        <v/>
      </c>
      <c r="F15" s="110" t="str">
        <f>IF(E15="","",SUM(D$8:D15))</f>
        <v/>
      </c>
      <c r="G15" s="110"/>
      <c r="H15" s="110"/>
      <c r="I15" s="84"/>
      <c r="J15" s="110"/>
      <c r="K15" s="196" t="s">
        <v>20</v>
      </c>
      <c r="L15" s="282">
        <f>午前観測!J28</f>
        <v>24</v>
      </c>
      <c r="M15" s="196" t="s">
        <v>9</v>
      </c>
      <c r="N15" s="282">
        <f>午前観測!L28</f>
        <v>40.299999999999997</v>
      </c>
      <c r="O15" s="196" t="s">
        <v>10</v>
      </c>
      <c r="P15" s="196"/>
      <c r="Q15" s="196"/>
      <c r="R15" s="273"/>
      <c r="S15" s="280"/>
      <c r="T15" s="110" t="str">
        <f>IF(正午観測!C27&lt;&gt;"","&lt;"&amp;正午観測!C27&amp;"&gt;","")</f>
        <v/>
      </c>
      <c r="U15" s="110"/>
      <c r="V15" s="158" t="str">
        <f>IF(T15&lt;&gt;"",正午観測!D27,"")</f>
        <v/>
      </c>
      <c r="W15" s="110" t="str">
        <f>IF(AND(W8&lt;&gt;"l",W9&lt;&gt;"l",W10&lt;&gt;"l",W11&lt;&gt;"l",W12&lt;&gt;"l",W13&lt;&gt;"l",W14&lt;&gt;"l"),"l","")</f>
        <v/>
      </c>
      <c r="X15" s="110" t="str">
        <f>IF(W15="","",SUM(V$8:V15)+SUM($F$8:$F$22))</f>
        <v/>
      </c>
      <c r="Y15" s="110"/>
      <c r="Z15" s="110"/>
      <c r="AA15" s="110"/>
      <c r="AB15" s="84"/>
      <c r="AC15" s="110"/>
      <c r="AD15" s="110"/>
      <c r="AE15" s="110"/>
      <c r="AF15" s="110"/>
      <c r="AG15" s="110"/>
      <c r="AH15" s="110"/>
      <c r="AI15" s="110"/>
      <c r="AJ15" s="110"/>
      <c r="AK15" s="273"/>
    </row>
    <row r="16" spans="1:37" x14ac:dyDescent="0.4">
      <c r="A16" s="280"/>
      <c r="B16" s="110" t="str">
        <f>IF(午前観測!C23&lt;&gt;"","&lt;"&amp;午前観測!C23&amp;"&gt;","")</f>
        <v/>
      </c>
      <c r="C16" s="110"/>
      <c r="D16" s="158" t="str">
        <f>IF(B16&lt;&gt;"",午前観測!D23,"")</f>
        <v/>
      </c>
      <c r="E16" s="110" t="str">
        <f>IF(AND(E8&lt;&gt;"l",E9&lt;&gt;"l",E10&lt;&gt;"l",E11&lt;&gt;"l",E12&lt;&gt;"l",E13&lt;&gt;"l",E14&lt;&gt;"l",E15&lt;&gt;"l"),IF(D17="","l",""),"")</f>
        <v/>
      </c>
      <c r="F16" s="110" t="str">
        <f>IF(E16="","",SUM(D$8:D16))</f>
        <v/>
      </c>
      <c r="G16" s="110"/>
      <c r="H16" s="110"/>
      <c r="I16" s="84"/>
      <c r="J16" s="110"/>
      <c r="K16" s="110" t="s">
        <v>13</v>
      </c>
      <c r="L16" s="158"/>
      <c r="M16" s="110" t="str">
        <f>IF(午前観測!L29&gt;=0,"+","-")</f>
        <v>+</v>
      </c>
      <c r="N16" s="281">
        <f>ABS(午前観測!L29)</f>
        <v>9.4098090947302637</v>
      </c>
      <c r="O16" s="110"/>
      <c r="P16" s="110"/>
      <c r="Q16" s="110"/>
      <c r="R16" s="273"/>
      <c r="S16" s="280"/>
      <c r="T16" s="110" t="str">
        <f>IF(正午観測!C28&lt;&gt;"","&lt;"&amp;正午観測!C28&amp;"&gt;","")</f>
        <v/>
      </c>
      <c r="U16" s="110"/>
      <c r="V16" s="158" t="str">
        <f>IF(T16&lt;&gt;"",正午観測!D28,"")</f>
        <v/>
      </c>
      <c r="W16" s="110" t="str">
        <f>IF(AND(W8&lt;&gt;"l",W9&lt;&gt;"l",W10&lt;&gt;"l",W11&lt;&gt;"l",W12&lt;&gt;"l",W13&lt;&gt;"l",W14&lt;&gt;"l",W15&lt;&gt;"l"),"l","")</f>
        <v/>
      </c>
      <c r="X16" s="110" t="str">
        <f>IF(W16="","",SUM(V$8:V16)+SUM($F$8:$F$22))</f>
        <v/>
      </c>
      <c r="Y16" s="110"/>
      <c r="Z16" s="110"/>
      <c r="AA16" s="110"/>
      <c r="AB16" s="84"/>
      <c r="AC16" s="110"/>
      <c r="AD16" s="110" t="s">
        <v>86</v>
      </c>
      <c r="AE16" s="279">
        <f>正午観測!P34</f>
        <v>-4.8261300435000827</v>
      </c>
      <c r="AF16" s="110"/>
      <c r="AG16" s="110" t="str">
        <f>IF(正午観測!J34&gt;=0,"E'ly","W'ly")</f>
        <v>E'ly</v>
      </c>
      <c r="AH16" s="110"/>
      <c r="AI16" s="110"/>
      <c r="AJ16" s="110"/>
      <c r="AK16" s="273"/>
    </row>
    <row r="17" spans="1:37" x14ac:dyDescent="0.4">
      <c r="A17" s="280"/>
      <c r="B17" s="110" t="str">
        <f>IF(午前観測!C24&lt;&gt;"","&lt;"&amp;午前観測!C24&amp;"&gt;","")</f>
        <v/>
      </c>
      <c r="C17" s="110"/>
      <c r="D17" s="158" t="str">
        <f>IF(B17&lt;&gt;"",午前観測!D24,"")</f>
        <v/>
      </c>
      <c r="E17" s="110" t="str">
        <f>IF(AND(E8&lt;&gt;"l",E9&lt;&gt;"l",E10&lt;&gt;"l",E11&lt;&gt;"l",E12&lt;&gt;"l",E13&lt;&gt;"l",E14&lt;&gt;"l",E15&lt;&gt;"l",E16&lt;&gt;"l"),IF(D18="","l",""),"")</f>
        <v/>
      </c>
      <c r="F17" s="110" t="str">
        <f>IF(E17="","",SUM(D$8:D17))</f>
        <v/>
      </c>
      <c r="G17" s="110"/>
      <c r="H17" s="110"/>
      <c r="I17" s="84"/>
      <c r="J17" s="110"/>
      <c r="K17" s="110"/>
      <c r="L17" s="158"/>
      <c r="M17" s="110"/>
      <c r="N17" s="158"/>
      <c r="O17" s="110"/>
      <c r="P17" s="110"/>
      <c r="Q17" s="110"/>
      <c r="R17" s="273"/>
      <c r="S17" s="280"/>
      <c r="T17" s="110" t="str">
        <f>IF(正午観測!C29&lt;&gt;"","&lt;"&amp;正午観測!C29&amp;"&gt;","")</f>
        <v/>
      </c>
      <c r="U17" s="110"/>
      <c r="V17" s="158" t="str">
        <f>IF(T17&lt;&gt;"",正午観測!D29,"")</f>
        <v/>
      </c>
      <c r="W17" s="110" t="str">
        <f>IF(AND(W8&lt;&gt;"l",W9&lt;&gt;"l",W10&lt;&gt;"l",W11&lt;&gt;"l",W12&lt;&gt;"l",W13&lt;&gt;"l",W14&lt;&gt;"l",W15&lt;&gt;"l",W16&lt;&gt;"l"),"l","")</f>
        <v/>
      </c>
      <c r="X17" s="110" t="str">
        <f>IF(W17="","",SUM(V$8:V17)+SUM($F$8:$F$22))</f>
        <v/>
      </c>
      <c r="Y17" s="110"/>
      <c r="Z17" s="110"/>
      <c r="AA17" s="110"/>
      <c r="AB17" s="84"/>
      <c r="AC17" s="110"/>
      <c r="AD17" s="110"/>
      <c r="AE17" s="110"/>
      <c r="AF17" s="110"/>
      <c r="AG17" s="110"/>
      <c r="AH17" s="110"/>
      <c r="AI17" s="110"/>
      <c r="AJ17" s="110"/>
      <c r="AK17" s="273"/>
    </row>
    <row r="18" spans="1:37" x14ac:dyDescent="0.4">
      <c r="A18" s="280"/>
      <c r="B18" s="110" t="str">
        <f>IF(午前観測!C25&lt;&gt;"","&lt;"&amp;午前観測!C25&amp;"&gt;","")</f>
        <v/>
      </c>
      <c r="C18" s="110"/>
      <c r="D18" s="158" t="str">
        <f>IF(B18&lt;&gt;"",午前観測!D25,"")</f>
        <v/>
      </c>
      <c r="E18" s="110" t="str">
        <f>IF(AND(E8&lt;&gt;"l",E9&lt;&gt;"l",E10&lt;&gt;"l",E11&lt;&gt;"l",E12&lt;&gt;"l",E13&lt;&gt;"l",E14&lt;&gt;"l",E15&lt;&gt;"l",E16&lt;&gt;"l",E17&lt;&gt;"l"),IF(D19="","l",""),"")</f>
        <v/>
      </c>
      <c r="F18" s="110" t="str">
        <f>IF(E18="","",SUM(D$8:D18))</f>
        <v/>
      </c>
      <c r="G18" s="110"/>
      <c r="H18" s="110"/>
      <c r="I18" s="84"/>
      <c r="J18" s="110"/>
      <c r="K18" s="110" t="s">
        <v>16</v>
      </c>
      <c r="L18" s="281">
        <f>午前観測!J31</f>
        <v>114.19562344084007</v>
      </c>
      <c r="M18" s="110" t="s">
        <v>9</v>
      </c>
      <c r="N18" s="158"/>
      <c r="O18" s="110"/>
      <c r="P18" s="110"/>
      <c r="Q18" s="110"/>
      <c r="R18" s="273"/>
      <c r="S18" s="280"/>
      <c r="T18" s="110" t="str">
        <f>IF(正午観測!C30&lt;&gt;"","&lt;"&amp;正午観測!C30&amp;"&gt;","")</f>
        <v/>
      </c>
      <c r="U18" s="110"/>
      <c r="V18" s="158" t="str">
        <f>IF(T18&lt;&gt;"",正午観測!D30,"")</f>
        <v/>
      </c>
      <c r="W18" s="110" t="str">
        <f>IF(AND(W8&lt;&gt;"l",W9&lt;&gt;"l",W10&lt;&gt;"l",W11&lt;&gt;"l",W12&lt;&gt;"l",W13&lt;&gt;"l",W14&lt;&gt;"l",W15&lt;&gt;"l",W16&lt;&gt;"l",W17&lt;&gt;"l"),"l","")</f>
        <v/>
      </c>
      <c r="X18" s="110" t="str">
        <f>IF(W18="","",SUM(V$8:V18)+SUM($F$8:$F$22))</f>
        <v/>
      </c>
      <c r="Y18" s="110"/>
      <c r="Z18" s="110"/>
      <c r="AA18" s="110"/>
      <c r="AB18" s="84"/>
      <c r="AC18" s="110"/>
      <c r="AD18" s="110"/>
      <c r="AE18" s="110"/>
      <c r="AF18" s="110"/>
      <c r="AG18" s="110"/>
      <c r="AH18" s="110"/>
      <c r="AI18" s="110"/>
      <c r="AJ18" s="110"/>
      <c r="AK18" s="273"/>
    </row>
    <row r="19" spans="1:37" x14ac:dyDescent="0.4">
      <c r="A19" s="280"/>
      <c r="B19" s="110" t="str">
        <f>IF(午前観測!C26&lt;&gt;"","&lt;"&amp;午前観測!C26&amp;"&gt;","")</f>
        <v/>
      </c>
      <c r="C19" s="110"/>
      <c r="D19" s="158" t="str">
        <f>IF(B19&lt;&gt;"",午前観測!D26,"")</f>
        <v/>
      </c>
      <c r="E19" s="110" t="str">
        <f>IF(AND(E8&lt;&gt;"l",E9&lt;&gt;"l",E10&lt;&gt;"l",E11&lt;&gt;"l",E12&lt;&gt;"l",E13&lt;&gt;"l",E14&lt;&gt;"l",E15&lt;&gt;"l",E16&lt;&gt;"l",E17&lt;&gt;"l",E18&lt;&gt;"l"),IF(D20="","l",""),"")</f>
        <v/>
      </c>
      <c r="F19" s="110" t="str">
        <f>IF(E19="","",SUM(D$8:D19))</f>
        <v/>
      </c>
      <c r="G19" s="110"/>
      <c r="H19" s="110"/>
      <c r="I19" s="84"/>
      <c r="J19" s="110"/>
      <c r="K19" s="127" t="str">
        <f>IF(午前観測!G26&gt;=180,"h&gt;180より","h&lt;180より")</f>
        <v>h&gt;180より</v>
      </c>
      <c r="L19" s="127"/>
      <c r="M19" s="110" t="s">
        <v>11</v>
      </c>
      <c r="N19" s="281">
        <f>L18</f>
        <v>114.19562344084007</v>
      </c>
      <c r="O19" s="110" t="s">
        <v>9</v>
      </c>
      <c r="P19" s="110" t="str">
        <f>IF(午前観測!G26&gt;=180,"E","S")</f>
        <v>E</v>
      </c>
      <c r="Q19" s="110"/>
      <c r="R19" s="273"/>
      <c r="S19" s="280"/>
      <c r="T19" s="110" t="str">
        <f>IF(正午観測!C31&lt;&gt;"","&lt;"&amp;正午観測!C31&amp;"&gt;","")</f>
        <v/>
      </c>
      <c r="U19" s="110"/>
      <c r="V19" s="158" t="str">
        <f>IF(T19&lt;&gt;"",正午観測!D31,"")</f>
        <v/>
      </c>
      <c r="W19" s="110" t="str">
        <f>IF(AND(W8&lt;&gt;"l",W9&lt;&gt;"l",W10&lt;&gt;"l",W11&lt;&gt;"l",W12&lt;&gt;"l",W13&lt;&gt;"l",W14&lt;&gt;"l",W15&lt;&gt;"l",W16&lt;&gt;"l",W17&lt;&gt;"l",W18&lt;&gt;"l"),"l","")</f>
        <v/>
      </c>
      <c r="X19" s="110" t="str">
        <f>IF(W19="","",SUM(V$8:V19)+SUM($F$8:$F$22))</f>
        <v/>
      </c>
      <c r="Y19" s="110"/>
      <c r="Z19" s="110"/>
      <c r="AA19" s="110"/>
      <c r="AB19" s="84"/>
      <c r="AC19" s="110"/>
      <c r="AD19" s="110" t="str">
        <f>正午観測!P4</f>
        <v xml:space="preserve"> N/5 POSN</v>
      </c>
      <c r="AE19" s="110"/>
      <c r="AF19" s="110"/>
      <c r="AG19" s="110"/>
      <c r="AH19" s="110"/>
      <c r="AI19" s="110"/>
      <c r="AJ19" s="110"/>
      <c r="AK19" s="273"/>
    </row>
    <row r="20" spans="1:37" x14ac:dyDescent="0.4">
      <c r="A20" s="280"/>
      <c r="B20" s="110" t="str">
        <f>IF(午前観測!C27&lt;&gt;"","&lt;"&amp;午前観測!C27&amp;"&gt;","")</f>
        <v/>
      </c>
      <c r="C20" s="110"/>
      <c r="D20" s="158" t="str">
        <f>IF(B20&lt;&gt;"",午前観測!D27,"")</f>
        <v/>
      </c>
      <c r="E20" s="110" t="str">
        <f>IF(AND(E8&lt;&gt;"l",E9&lt;&gt;"l",E10&lt;&gt;"l",E11&lt;&gt;"l",E12&lt;&gt;"l",E13&lt;&gt;"l",E14&lt;&gt;"l",E15&lt;&gt;"l",E16&lt;&gt;"l",E17&lt;&gt;"l",E18&lt;&gt;"l",E19&lt;&gt;"l"),IF(D21="","l",""),"")</f>
        <v/>
      </c>
      <c r="F20" s="110" t="str">
        <f>IF(E20="","",SUM(D$8:D20))</f>
        <v/>
      </c>
      <c r="G20" s="110"/>
      <c r="H20" s="110"/>
      <c r="I20" s="84"/>
      <c r="J20" s="110"/>
      <c r="K20" s="110"/>
      <c r="L20" s="158" t="s">
        <v>12</v>
      </c>
      <c r="M20" s="110"/>
      <c r="N20" s="281">
        <f>午前観測!L32</f>
        <v>114.19562344084007</v>
      </c>
      <c r="O20" s="110" t="s">
        <v>9</v>
      </c>
      <c r="P20" s="110"/>
      <c r="Q20" s="110"/>
      <c r="R20" s="273"/>
      <c r="S20" s="280"/>
      <c r="T20" s="110" t="str">
        <f>IF(正午観測!C32&lt;&gt;"","&lt;"&amp;正午観測!C32&amp;"&gt;","")</f>
        <v/>
      </c>
      <c r="U20" s="110"/>
      <c r="V20" s="158" t="str">
        <f>IF(T20&lt;&gt;"",正午観測!D32,"")</f>
        <v/>
      </c>
      <c r="W20" s="110" t="str">
        <f>IF(AND(W8&lt;&gt;"l",W9&lt;&gt;"l",W10&lt;&gt;"l",W11&lt;&gt;"l",W12&lt;&gt;"l",W13&lt;&gt;"l",W14&lt;&gt;"l",W15&lt;&gt;"l",W16&lt;&gt;"l",W17&lt;&gt;"l",W18&lt;&gt;"l",W19&lt;&gt;"l"),"l","")</f>
        <v/>
      </c>
      <c r="X20" s="110" t="str">
        <f>IF(W20="","",SUM(V$8:V20)+SUM($F$8:$F$22))</f>
        <v/>
      </c>
      <c r="Y20" s="110"/>
      <c r="Z20" s="110"/>
      <c r="AA20" s="110"/>
      <c r="AB20" s="84"/>
      <c r="AC20" s="110"/>
      <c r="AD20" s="110" t="s">
        <v>106</v>
      </c>
      <c r="AE20" s="291">
        <f>正午観測!R5</f>
        <v>6</v>
      </c>
      <c r="AF20" s="110" t="s">
        <v>9</v>
      </c>
      <c r="AG20" s="279">
        <f>正午観測!T5</f>
        <v>33.861424093677464</v>
      </c>
      <c r="AH20" s="110" t="s">
        <v>10</v>
      </c>
      <c r="AI20" s="110" t="str">
        <f>正午観測!V5</f>
        <v>N</v>
      </c>
      <c r="AJ20" s="110"/>
      <c r="AK20" s="273"/>
    </row>
    <row r="21" spans="1:37" x14ac:dyDescent="0.4">
      <c r="A21" s="280"/>
      <c r="B21" s="110" t="str">
        <f>IF(午前観測!C28&lt;&gt;"","&lt;"&amp;午前観測!C28&amp;"&gt;","")</f>
        <v/>
      </c>
      <c r="C21" s="110"/>
      <c r="D21" s="158" t="str">
        <f>IF(B21&lt;&gt;"",午前観測!D28,"")</f>
        <v/>
      </c>
      <c r="E21" s="110" t="str">
        <f>IF(AND(E8&lt;&gt;"l",E9&lt;&gt;"l",E10&lt;&gt;"l",E11&lt;&gt;"l",E12&lt;&gt;"l",E13&lt;&gt;"l",E14&lt;&gt;"l",E15&lt;&gt;"l",E16&lt;&gt;"l",E17&lt;&gt;"l",E18&lt;&gt;"l",E19&lt;&gt;"l",E20&lt;&gt;"l"),"l","")</f>
        <v/>
      </c>
      <c r="F21" s="110" t="str">
        <f>IF(E21="","",SUM(D$8:D21))</f>
        <v/>
      </c>
      <c r="G21" s="110"/>
      <c r="H21" s="110"/>
      <c r="I21" s="84"/>
      <c r="J21" s="110"/>
      <c r="K21" s="110"/>
      <c r="L21" s="158"/>
      <c r="M21" s="110"/>
      <c r="N21" s="158"/>
      <c r="O21" s="110"/>
      <c r="P21" s="110"/>
      <c r="Q21" s="110"/>
      <c r="R21" s="273"/>
      <c r="S21" s="280"/>
      <c r="T21" s="110" t="str">
        <f>IF(正午観測!C33&lt;&gt;"","&lt;"&amp;正午観測!C33&amp;"&gt;","")</f>
        <v/>
      </c>
      <c r="U21" s="110"/>
      <c r="V21" s="158" t="str">
        <f>IF(T21&lt;&gt;"",正午観測!D33,"")</f>
        <v/>
      </c>
      <c r="W21" s="110" t="str">
        <f>IF(AND(W8&lt;&gt;"l",W9&lt;&gt;"l",W10&lt;&gt;"l",W11&lt;&gt;"l",W12&lt;&gt;"l",W13&lt;&gt;"l",W14&lt;&gt;"l",W15&lt;&gt;"l",W16&lt;&gt;"l",W17&lt;&gt;"l",W18&lt;&gt;"l",W19&lt;&gt;"l",W20&lt;&gt;"l"),"l","")</f>
        <v/>
      </c>
      <c r="X21" s="110" t="str">
        <f>IF(W21="","",SUM(V$8:V21)+SUM($F$8:$F$22))</f>
        <v/>
      </c>
      <c r="Y21" s="110"/>
      <c r="Z21" s="110"/>
      <c r="AA21" s="110"/>
      <c r="AB21" s="84"/>
      <c r="AC21" s="110"/>
      <c r="AD21" s="110" t="s">
        <v>107</v>
      </c>
      <c r="AE21" s="291">
        <f>正午観測!R6</f>
        <v>114</v>
      </c>
      <c r="AF21" s="110" t="s">
        <v>9</v>
      </c>
      <c r="AG21" s="110">
        <f>正午観測!T6</f>
        <v>14.348440645923688</v>
      </c>
      <c r="AH21" s="110" t="s">
        <v>10</v>
      </c>
      <c r="AI21" s="110" t="str">
        <f>正午観測!V6</f>
        <v>E</v>
      </c>
      <c r="AJ21" s="110"/>
      <c r="AK21" s="273"/>
    </row>
    <row r="22" spans="1:37" ht="19.5" thickBot="1" x14ac:dyDescent="0.45">
      <c r="A22" s="284"/>
      <c r="B22" s="285"/>
      <c r="C22" s="285"/>
      <c r="D22" s="286"/>
      <c r="E22" s="285"/>
      <c r="F22" s="285" t="str">
        <f>IF(E22="","",SUM(D$8:D22))</f>
        <v/>
      </c>
      <c r="G22" s="285"/>
      <c r="H22" s="285"/>
      <c r="I22" s="287"/>
      <c r="J22" s="110"/>
      <c r="K22" s="110" t="s">
        <v>108</v>
      </c>
      <c r="L22" s="158"/>
      <c r="M22" s="110" t="s">
        <v>45</v>
      </c>
      <c r="N22" s="158">
        <f>午前観測!T19</f>
        <v>13</v>
      </c>
      <c r="O22" s="110" t="s">
        <v>41</v>
      </c>
      <c r="P22" s="110"/>
      <c r="Q22" s="110"/>
      <c r="R22" s="273"/>
      <c r="S22" s="280"/>
      <c r="T22" s="110" t="str">
        <f>IF(正午観測!C34&lt;&gt;"","&lt;"&amp;正午観測!C34&amp;"&gt;","")</f>
        <v/>
      </c>
      <c r="U22" s="285"/>
      <c r="V22" s="158" t="str">
        <f>IF(T22&lt;&gt;"",正午観測!D34,"")</f>
        <v/>
      </c>
      <c r="W22" s="285"/>
      <c r="X22" s="110" t="str">
        <f>IF(W22="","",SUM(V$8:V22)+SUM($F$8:$F$22))</f>
        <v/>
      </c>
      <c r="Y22" s="110"/>
      <c r="Z22" s="110"/>
      <c r="AA22" s="110"/>
      <c r="AB22" s="84"/>
      <c r="AC22" s="292"/>
      <c r="AD22" s="293"/>
      <c r="AE22" s="293"/>
      <c r="AF22" s="293"/>
      <c r="AG22" s="293"/>
      <c r="AH22" s="293"/>
      <c r="AI22" s="293"/>
      <c r="AJ22" s="293"/>
      <c r="AK22" s="294"/>
    </row>
    <row r="23" spans="1:37" x14ac:dyDescent="0.4">
      <c r="A23" s="269"/>
      <c r="B23" s="110" t="str">
        <f>IF(午前観測!G3=1,"N/30","N/"&amp;午前観測!G3-1)</f>
        <v>N/4</v>
      </c>
      <c r="C23" s="110"/>
      <c r="D23" s="110"/>
      <c r="E23" s="110"/>
      <c r="F23" s="110"/>
      <c r="G23" s="110"/>
      <c r="H23" s="110"/>
      <c r="I23" s="84"/>
      <c r="J23" s="110"/>
      <c r="K23" s="76"/>
      <c r="L23" s="158"/>
      <c r="M23" s="76"/>
      <c r="N23" s="158" t="s">
        <v>46</v>
      </c>
      <c r="O23" s="76"/>
      <c r="P23" s="76"/>
      <c r="Q23" s="76"/>
      <c r="R23" s="273"/>
      <c r="S23" s="295"/>
      <c r="T23" s="275" t="str" cm="1">
        <f t="array" ref="T23:X23">B3:F3</f>
        <v>5th</v>
      </c>
      <c r="U23" s="275" t="str">
        <v>-</v>
      </c>
      <c r="V23" s="275" t="str">
        <v>FEB</v>
      </c>
      <c r="W23" s="275" t="str">
        <v>1020</v>
      </c>
      <c r="X23" s="275" t="str">
        <v>SAT</v>
      </c>
      <c r="Y23" s="275"/>
      <c r="Z23" s="275"/>
      <c r="AA23" s="275"/>
      <c r="AB23" s="277"/>
      <c r="AC23" s="110"/>
      <c r="AD23" s="110"/>
      <c r="AE23" s="110"/>
      <c r="AF23" s="110"/>
      <c r="AG23" s="110"/>
      <c r="AH23" s="110"/>
      <c r="AI23" s="110"/>
      <c r="AJ23" s="110"/>
      <c r="AK23" s="273"/>
    </row>
    <row r="24" spans="1:37" x14ac:dyDescent="0.4">
      <c r="A24" s="269"/>
      <c r="B24" s="110" t="s">
        <v>8</v>
      </c>
      <c r="C24" s="110"/>
      <c r="D24" s="110">
        <f>午前観測!C5</f>
        <v>5</v>
      </c>
      <c r="E24" s="110" t="s">
        <v>9</v>
      </c>
      <c r="F24" s="110">
        <f>午前観測!E5</f>
        <v>11</v>
      </c>
      <c r="G24" s="110" t="s">
        <v>10</v>
      </c>
      <c r="H24" s="110" t="str">
        <f>午前観測!G5</f>
        <v>N</v>
      </c>
      <c r="I24" s="84"/>
      <c r="J24" s="110"/>
      <c r="K24" s="76"/>
      <c r="L24" s="158"/>
      <c r="M24" s="76"/>
      <c r="N24" s="281">
        <f>午前観測!T21</f>
        <v>2.9439117961424897</v>
      </c>
      <c r="O24" s="76" t="s">
        <v>10</v>
      </c>
      <c r="P24" s="76"/>
      <c r="Q24" s="76"/>
      <c r="R24" s="273"/>
      <c r="S24" s="269"/>
      <c r="T24" s="110" t="s">
        <v>6</v>
      </c>
      <c r="U24" s="110"/>
      <c r="V24" s="110"/>
      <c r="W24" s="110"/>
      <c r="X24" s="110"/>
      <c r="Y24" s="110"/>
      <c r="Z24" s="110"/>
      <c r="AA24" s="110"/>
      <c r="AB24" s="84"/>
      <c r="AC24" s="110"/>
      <c r="AD24" s="110"/>
      <c r="AE24" s="110"/>
      <c r="AF24" s="110"/>
      <c r="AG24" s="110"/>
      <c r="AH24" s="110"/>
      <c r="AI24" s="110"/>
      <c r="AJ24" s="110"/>
      <c r="AK24" s="273"/>
    </row>
    <row r="25" spans="1:37" x14ac:dyDescent="0.4">
      <c r="A25" s="269"/>
      <c r="B25" s="110" t="s">
        <v>14</v>
      </c>
      <c r="C25" s="110"/>
      <c r="D25" s="110">
        <f>午前観測!C6</f>
        <v>110</v>
      </c>
      <c r="E25" s="110" t="s">
        <v>9</v>
      </c>
      <c r="F25" s="110">
        <f>午前観測!E6</f>
        <v>55</v>
      </c>
      <c r="G25" s="110" t="s">
        <v>10</v>
      </c>
      <c r="H25" s="110" t="str">
        <f>午前観測!G6</f>
        <v>E</v>
      </c>
      <c r="I25" s="84"/>
      <c r="J25" s="110"/>
      <c r="K25" s="110"/>
      <c r="L25" s="158"/>
      <c r="M25" s="110"/>
      <c r="N25" s="158"/>
      <c r="O25" s="110"/>
      <c r="P25" s="110"/>
      <c r="Q25" s="110"/>
      <c r="R25" s="273"/>
      <c r="S25" s="269"/>
      <c r="T25" s="110" t="s">
        <v>109</v>
      </c>
      <c r="U25" s="110"/>
      <c r="V25" s="110">
        <f>正午観測!C5</f>
        <v>6</v>
      </c>
      <c r="W25" s="110" t="s">
        <v>110</v>
      </c>
      <c r="X25" s="279">
        <f>正午観測!E5</f>
        <v>45.313941331849961</v>
      </c>
      <c r="Y25" s="110" t="s">
        <v>104</v>
      </c>
      <c r="Z25" s="110" t="str">
        <f>正午観測!G5</f>
        <v>N</v>
      </c>
      <c r="AA25" s="110"/>
      <c r="AB25" s="84"/>
      <c r="AC25" s="110"/>
      <c r="AD25" s="110"/>
      <c r="AE25" s="110"/>
      <c r="AF25" s="110"/>
      <c r="AG25" s="110"/>
      <c r="AH25" s="110"/>
      <c r="AI25" s="110"/>
      <c r="AJ25" s="110"/>
      <c r="AK25" s="273"/>
    </row>
    <row r="26" spans="1:37" x14ac:dyDescent="0.4">
      <c r="A26" s="269"/>
      <c r="B26" s="110"/>
      <c r="C26" s="110"/>
      <c r="D26" s="110"/>
      <c r="E26" s="110"/>
      <c r="F26" s="110"/>
      <c r="G26" s="110"/>
      <c r="H26" s="110"/>
      <c r="I26" s="84"/>
      <c r="J26" s="110"/>
      <c r="K26" s="110" t="s">
        <v>111</v>
      </c>
      <c r="L26" s="158">
        <f>TRUNC(午前観測!T22)</f>
        <v>24</v>
      </c>
      <c r="M26" s="110" t="s">
        <v>9</v>
      </c>
      <c r="N26" s="281">
        <f>(午前観測!T22-L26)*60</f>
        <v>33.834102701412192</v>
      </c>
      <c r="O26" s="110" t="s">
        <v>10</v>
      </c>
      <c r="P26" s="110"/>
      <c r="Q26" s="110"/>
      <c r="R26" s="273"/>
      <c r="S26" s="269"/>
      <c r="T26" s="110" t="s">
        <v>112</v>
      </c>
      <c r="U26" s="110"/>
      <c r="V26" s="110">
        <f>正午観測!C6</f>
        <v>114</v>
      </c>
      <c r="W26" s="110" t="s">
        <v>110</v>
      </c>
      <c r="X26" s="279">
        <f>正午観測!E6</f>
        <v>10.502390060213145</v>
      </c>
      <c r="Y26" s="110" t="s">
        <v>104</v>
      </c>
      <c r="Z26" s="110" t="str">
        <f>正午観測!G6</f>
        <v>E</v>
      </c>
      <c r="AA26" s="110"/>
      <c r="AB26" s="84"/>
      <c r="AC26" s="110"/>
      <c r="AD26" s="110"/>
      <c r="AE26" s="110"/>
      <c r="AF26" s="110"/>
      <c r="AG26" s="110"/>
      <c r="AH26" s="110"/>
      <c r="AI26" s="110"/>
      <c r="AJ26" s="110"/>
      <c r="AK26" s="273"/>
    </row>
    <row r="27" spans="1:37" x14ac:dyDescent="0.4">
      <c r="A27" s="269"/>
      <c r="B27" s="110" t="s">
        <v>32</v>
      </c>
      <c r="C27" s="110"/>
      <c r="D27" s="110">
        <f>ABS(TRUNC(午前観測!G14/60))</f>
        <v>1</v>
      </c>
      <c r="E27" s="110" t="s">
        <v>9</v>
      </c>
      <c r="F27" s="279">
        <f>ABS(午前観測!G14)-D27*60</f>
        <v>34.313941331849918</v>
      </c>
      <c r="G27" s="110" t="s">
        <v>10</v>
      </c>
      <c r="H27" s="110" t="str">
        <f>IF(午前観測!G14&gt;=0,"N'ly","S'ly")</f>
        <v>N'ly</v>
      </c>
      <c r="I27" s="84"/>
      <c r="J27" s="110"/>
      <c r="K27" s="196" t="s">
        <v>108</v>
      </c>
      <c r="L27" s="282">
        <f>TRUNC(午前観測!T23)</f>
        <v>24</v>
      </c>
      <c r="M27" s="196" t="s">
        <v>9</v>
      </c>
      <c r="N27" s="283">
        <f>(午前観測!T23-L27)*60</f>
        <v>34.100000000000108</v>
      </c>
      <c r="O27" s="196" t="s">
        <v>10</v>
      </c>
      <c r="P27" s="196"/>
      <c r="Q27" s="196"/>
      <c r="R27" s="273"/>
      <c r="S27" s="269"/>
      <c r="T27" s="110"/>
      <c r="U27" s="110"/>
      <c r="V27" s="110"/>
      <c r="W27" s="110"/>
      <c r="X27" s="110"/>
      <c r="Y27" s="110"/>
      <c r="Z27" s="110"/>
      <c r="AA27" s="110"/>
      <c r="AB27" s="84"/>
      <c r="AC27" s="110"/>
      <c r="AD27" s="110"/>
      <c r="AE27" s="110"/>
      <c r="AF27" s="110"/>
      <c r="AG27" s="110"/>
      <c r="AH27" s="110"/>
      <c r="AI27" s="110"/>
      <c r="AJ27" s="110"/>
      <c r="AK27" s="273"/>
    </row>
    <row r="28" spans="1:37" x14ac:dyDescent="0.4">
      <c r="A28" s="269"/>
      <c r="B28" s="110" t="s">
        <v>37</v>
      </c>
      <c r="C28" s="110"/>
      <c r="D28" s="110">
        <f>ABS(TRUNC(午前観測!G16/60))</f>
        <v>3</v>
      </c>
      <c r="E28" s="110" t="s">
        <v>9</v>
      </c>
      <c r="F28" s="279">
        <f>ABS(午前観測!G16)-D28*60</f>
        <v>15.502390060212718</v>
      </c>
      <c r="G28" s="110" t="s">
        <v>10</v>
      </c>
      <c r="H28" s="110" t="str">
        <f>IF(午前観測!G16&gt;=0,"E'ly","W'ly")</f>
        <v>E'ly</v>
      </c>
      <c r="I28" s="84"/>
      <c r="J28" s="110"/>
      <c r="K28" s="110" t="s">
        <v>113</v>
      </c>
      <c r="L28" s="158"/>
      <c r="M28" s="110" t="str">
        <f>IF(午前観測!T24&gt;=0,"+","-")</f>
        <v>+</v>
      </c>
      <c r="N28" s="281">
        <f>ABS(午前観測!T24)</f>
        <v>0.265897298587916</v>
      </c>
      <c r="O28" s="110"/>
      <c r="P28" s="110"/>
      <c r="Q28" s="110"/>
      <c r="R28" s="273"/>
      <c r="S28" s="269"/>
      <c r="T28" s="110" t="s">
        <v>114</v>
      </c>
      <c r="U28" s="110"/>
      <c r="V28" s="110">
        <f>TRUNC(正午観測!G19/60)</f>
        <v>0</v>
      </c>
      <c r="W28" s="110" t="s">
        <v>110</v>
      </c>
      <c r="X28" s="279">
        <f>ABS(正午観測!G19-V28*60)</f>
        <v>5.9768125105457122</v>
      </c>
      <c r="Y28" s="110" t="s">
        <v>104</v>
      </c>
      <c r="Z28" s="110" t="str">
        <f>IF(正午観測!G19&gt;=0,"N'ly","S'ly")</f>
        <v>N'ly</v>
      </c>
      <c r="AA28" s="110"/>
      <c r="AB28" s="84"/>
      <c r="AC28" s="110"/>
      <c r="AD28" s="110"/>
      <c r="AE28" s="110"/>
      <c r="AF28" s="110"/>
      <c r="AG28" s="110"/>
      <c r="AH28" s="110"/>
      <c r="AI28" s="110"/>
      <c r="AJ28" s="110"/>
      <c r="AK28" s="273"/>
    </row>
    <row r="29" spans="1:37" x14ac:dyDescent="0.4">
      <c r="A29" s="269"/>
      <c r="B29" s="110"/>
      <c r="C29" s="110"/>
      <c r="D29" s="110"/>
      <c r="E29" s="110"/>
      <c r="F29" s="110"/>
      <c r="G29" s="110"/>
      <c r="H29" s="110"/>
      <c r="I29" s="84"/>
      <c r="J29" s="110"/>
      <c r="K29" s="110"/>
      <c r="L29" s="158"/>
      <c r="M29" s="110"/>
      <c r="N29" s="158"/>
      <c r="O29" s="110"/>
      <c r="P29" s="110"/>
      <c r="Q29" s="110"/>
      <c r="R29" s="273"/>
      <c r="S29" s="269"/>
      <c r="T29" s="110" t="s">
        <v>115</v>
      </c>
      <c r="U29" s="110"/>
      <c r="V29" s="110">
        <f>TRUNC(正午観測!G21/60)</f>
        <v>0</v>
      </c>
      <c r="W29" s="110" t="s">
        <v>110</v>
      </c>
      <c r="X29" s="279">
        <f>ABS(正午観測!G21-V29*60)</f>
        <v>8.6721806292107892</v>
      </c>
      <c r="Y29" s="110" t="s">
        <v>104</v>
      </c>
      <c r="Z29" s="110" t="str">
        <f>IF(正午観測!G21&gt;=0,"E'ly","S'ly")</f>
        <v>E'ly</v>
      </c>
      <c r="AA29" s="110"/>
      <c r="AB29" s="84"/>
      <c r="AC29" s="110"/>
      <c r="AD29" s="110"/>
      <c r="AE29" s="110"/>
      <c r="AF29" s="110"/>
      <c r="AG29" s="110"/>
      <c r="AH29" s="110"/>
      <c r="AI29" s="110"/>
      <c r="AJ29" s="110"/>
      <c r="AK29" s="273"/>
    </row>
    <row r="30" spans="1:37" x14ac:dyDescent="0.4">
      <c r="A30" s="269"/>
      <c r="B30" s="110" t="s">
        <v>6</v>
      </c>
      <c r="C30" s="110"/>
      <c r="D30" s="110"/>
      <c r="E30" s="110"/>
      <c r="F30" s="110"/>
      <c r="G30" s="110"/>
      <c r="H30" s="110"/>
      <c r="I30" s="84"/>
      <c r="J30" s="110"/>
      <c r="K30" s="110"/>
      <c r="L30" s="158"/>
      <c r="M30" s="110" t="s">
        <v>45</v>
      </c>
      <c r="N30" s="158">
        <f>午前観測!W19</f>
        <v>16</v>
      </c>
      <c r="O30" s="110" t="s">
        <v>41</v>
      </c>
      <c r="P30" s="110"/>
      <c r="Q30" s="110"/>
      <c r="R30" s="273"/>
      <c r="S30" s="269"/>
      <c r="T30" s="110"/>
      <c r="U30" s="110"/>
      <c r="V30" s="110"/>
      <c r="W30" s="110"/>
      <c r="X30" s="110"/>
      <c r="Y30" s="110"/>
      <c r="Z30" s="110"/>
      <c r="AA30" s="110"/>
      <c r="AB30" s="84"/>
      <c r="AC30" s="110"/>
      <c r="AD30" s="110"/>
      <c r="AE30" s="110"/>
      <c r="AF30" s="110"/>
      <c r="AG30" s="110"/>
      <c r="AH30" s="110"/>
      <c r="AI30" s="110"/>
      <c r="AJ30" s="110"/>
      <c r="AK30" s="273"/>
    </row>
    <row r="31" spans="1:37" x14ac:dyDescent="0.4">
      <c r="A31" s="269"/>
      <c r="B31" s="110" t="s">
        <v>8</v>
      </c>
      <c r="C31" s="110"/>
      <c r="D31" s="110">
        <f>午前観測!J5</f>
        <v>6</v>
      </c>
      <c r="E31" s="110" t="s">
        <v>9</v>
      </c>
      <c r="F31" s="279">
        <f>午前観測!L5</f>
        <v>45.313941331849961</v>
      </c>
      <c r="G31" s="110" t="s">
        <v>10</v>
      </c>
      <c r="H31" s="110" t="str">
        <f>午前観測!N5</f>
        <v>N</v>
      </c>
      <c r="I31" s="84"/>
      <c r="J31" s="110"/>
      <c r="K31" s="76"/>
      <c r="L31" s="158"/>
      <c r="M31" s="76"/>
      <c r="N31" s="158" t="s">
        <v>46</v>
      </c>
      <c r="O31" s="76"/>
      <c r="P31" s="76"/>
      <c r="Q31" s="76"/>
      <c r="R31" s="273"/>
      <c r="S31" s="269"/>
      <c r="T31" s="110" t="str">
        <f>T3</f>
        <v xml:space="preserve"> N/5</v>
      </c>
      <c r="U31" s="110"/>
      <c r="V31" s="110" t="s">
        <v>116</v>
      </c>
      <c r="W31" s="110"/>
      <c r="X31" s="110"/>
      <c r="Y31" s="110"/>
      <c r="Z31" s="110"/>
      <c r="AA31" s="110"/>
      <c r="AB31" s="84"/>
      <c r="AC31" s="110"/>
      <c r="AD31" s="110"/>
      <c r="AE31" s="110"/>
      <c r="AF31" s="110"/>
      <c r="AG31" s="110"/>
      <c r="AH31" s="110"/>
      <c r="AI31" s="110"/>
      <c r="AJ31" s="110"/>
      <c r="AK31" s="273"/>
    </row>
    <row r="32" spans="1:37" x14ac:dyDescent="0.4">
      <c r="A32" s="269"/>
      <c r="B32" s="110" t="s">
        <v>14</v>
      </c>
      <c r="C32" s="110"/>
      <c r="D32" s="110">
        <f>午前観測!J6</f>
        <v>114</v>
      </c>
      <c r="E32" s="110" t="s">
        <v>9</v>
      </c>
      <c r="F32" s="279">
        <f>午前観測!L6</f>
        <v>10.502390060213145</v>
      </c>
      <c r="G32" s="110" t="s">
        <v>10</v>
      </c>
      <c r="H32" s="110" t="str">
        <f>午前観測!N6</f>
        <v>E</v>
      </c>
      <c r="I32" s="84"/>
      <c r="J32" s="110"/>
      <c r="K32" s="76"/>
      <c r="L32" s="158"/>
      <c r="M32" s="76"/>
      <c r="N32" s="281">
        <f>午前観測!W21</f>
        <v>3.6232760567907563</v>
      </c>
      <c r="O32" s="76" t="s">
        <v>10</v>
      </c>
      <c r="P32" s="76"/>
      <c r="Q32" s="76"/>
      <c r="R32" s="273"/>
      <c r="S32" s="269"/>
      <c r="T32" s="110" t="s">
        <v>109</v>
      </c>
      <c r="U32" s="110"/>
      <c r="V32" s="110">
        <f>正午観測!J5</f>
        <v>6</v>
      </c>
      <c r="W32" s="110" t="s">
        <v>110</v>
      </c>
      <c r="X32" s="279">
        <f>正午観測!L5</f>
        <v>51.290753842395667</v>
      </c>
      <c r="Y32" s="110" t="s">
        <v>104</v>
      </c>
      <c r="Z32" s="110" t="str">
        <f>正午観測!N5</f>
        <v>N</v>
      </c>
      <c r="AA32" s="110"/>
      <c r="AB32" s="84"/>
      <c r="AC32" s="110"/>
      <c r="AD32" s="110"/>
      <c r="AE32" s="110"/>
      <c r="AF32" s="110"/>
      <c r="AG32" s="110"/>
      <c r="AH32" s="110"/>
      <c r="AI32" s="110"/>
      <c r="AJ32" s="110"/>
      <c r="AK32" s="273"/>
    </row>
    <row r="33" spans="1:37" ht="19.5" thickBot="1" x14ac:dyDescent="0.45">
      <c r="A33" s="296"/>
      <c r="B33" s="293"/>
      <c r="C33" s="293"/>
      <c r="D33" s="293"/>
      <c r="E33" s="293"/>
      <c r="F33" s="293"/>
      <c r="G33" s="293"/>
      <c r="H33" s="293"/>
      <c r="I33" s="297"/>
      <c r="J33" s="110"/>
      <c r="K33" s="110"/>
      <c r="L33" s="158"/>
      <c r="M33" s="110"/>
      <c r="N33" s="158"/>
      <c r="O33" s="110"/>
      <c r="P33" s="110"/>
      <c r="Q33" s="110"/>
      <c r="R33" s="273"/>
      <c r="S33" s="298"/>
      <c r="T33" s="285" t="s">
        <v>112</v>
      </c>
      <c r="U33" s="285"/>
      <c r="V33" s="285">
        <f>正午観測!J6</f>
        <v>114</v>
      </c>
      <c r="W33" s="285" t="s">
        <v>110</v>
      </c>
      <c r="X33" s="299">
        <f>正午観測!L6</f>
        <v>19.174570689423831</v>
      </c>
      <c r="Y33" s="285" t="s">
        <v>104</v>
      </c>
      <c r="Z33" s="285" t="str">
        <f>正午観測!N6</f>
        <v>E</v>
      </c>
      <c r="AA33" s="285"/>
      <c r="AB33" s="287"/>
      <c r="AC33" s="110"/>
      <c r="AD33" s="110"/>
      <c r="AE33" s="110"/>
      <c r="AF33" s="110"/>
      <c r="AG33" s="110"/>
      <c r="AH33" s="110"/>
      <c r="AI33" s="110"/>
      <c r="AJ33" s="110"/>
      <c r="AK33" s="273"/>
    </row>
    <row r="34" spans="1:37" x14ac:dyDescent="0.4">
      <c r="A34" s="269"/>
      <c r="B34" s="110"/>
      <c r="C34" s="110"/>
      <c r="D34" s="110"/>
      <c r="E34" s="110"/>
      <c r="F34" s="110"/>
      <c r="G34" s="110"/>
      <c r="H34" s="110"/>
      <c r="I34" s="84"/>
      <c r="J34" s="110"/>
      <c r="K34" s="110" t="s">
        <v>117</v>
      </c>
      <c r="L34" s="158">
        <f>TRUNC(午前観測!W22)</f>
        <v>24</v>
      </c>
      <c r="M34" s="110" t="s">
        <v>9</v>
      </c>
      <c r="N34" s="281">
        <f>(午前観測!W22-L34)*60</f>
        <v>37.457378758202893</v>
      </c>
      <c r="O34" s="110" t="s">
        <v>10</v>
      </c>
      <c r="P34" s="110"/>
      <c r="Q34" s="110"/>
      <c r="R34" s="273"/>
      <c r="S34" s="269"/>
      <c r="T34" s="110" t="s">
        <v>118</v>
      </c>
      <c r="U34" s="110"/>
      <c r="V34" s="110">
        <v>12</v>
      </c>
      <c r="W34" s="110" t="s">
        <v>76</v>
      </c>
      <c r="X34" s="110">
        <v>0</v>
      </c>
      <c r="Y34" s="110" t="s">
        <v>77</v>
      </c>
      <c r="Z34" s="110">
        <v>0</v>
      </c>
      <c r="AA34" s="272" t="s">
        <v>119</v>
      </c>
      <c r="AB34" s="84"/>
      <c r="AC34" s="110"/>
      <c r="AD34" s="110"/>
      <c r="AE34" s="110"/>
      <c r="AF34" s="110"/>
      <c r="AG34" s="110"/>
      <c r="AH34" s="110"/>
      <c r="AI34" s="110"/>
      <c r="AJ34" s="110"/>
      <c r="AK34" s="273"/>
    </row>
    <row r="35" spans="1:37" x14ac:dyDescent="0.4">
      <c r="A35" s="269"/>
      <c r="B35" s="110"/>
      <c r="C35" s="110"/>
      <c r="D35" s="110"/>
      <c r="E35" s="110"/>
      <c r="F35" s="110"/>
      <c r="G35" s="110"/>
      <c r="H35" s="110"/>
      <c r="I35" s="84"/>
      <c r="J35" s="110"/>
      <c r="K35" s="196" t="s">
        <v>120</v>
      </c>
      <c r="L35" s="282">
        <f>TRUNC(午前観測!W23)</f>
        <v>24</v>
      </c>
      <c r="M35" s="196" t="s">
        <v>9</v>
      </c>
      <c r="N35" s="282">
        <f>(午前観測!W23-L35)*60</f>
        <v>36.099999999999994</v>
      </c>
      <c r="O35" s="196" t="s">
        <v>10</v>
      </c>
      <c r="P35" s="196"/>
      <c r="Q35" s="196"/>
      <c r="R35" s="273"/>
      <c r="S35" s="269"/>
      <c r="T35" s="196" t="s">
        <v>78</v>
      </c>
      <c r="U35" s="196"/>
      <c r="V35" s="196">
        <f>正午観測!J19</f>
        <v>7</v>
      </c>
      <c r="W35" s="196" t="s">
        <v>76</v>
      </c>
      <c r="X35" s="300">
        <f>TRUNC(正午観測!L19)</f>
        <v>37</v>
      </c>
      <c r="Y35" s="196" t="s">
        <v>77</v>
      </c>
      <c r="Z35" s="300">
        <f>正午観測!N19</f>
        <v>0</v>
      </c>
      <c r="AA35" s="301" t="s">
        <v>41</v>
      </c>
      <c r="AB35" s="84"/>
      <c r="AC35" s="110"/>
      <c r="AD35" s="110"/>
      <c r="AE35" s="110"/>
      <c r="AF35" s="110"/>
      <c r="AG35" s="110"/>
      <c r="AH35" s="110"/>
      <c r="AI35" s="110"/>
      <c r="AJ35" s="110"/>
      <c r="AK35" s="273"/>
    </row>
    <row r="36" spans="1:37" x14ac:dyDescent="0.4">
      <c r="A36" s="269"/>
      <c r="B36" s="110"/>
      <c r="C36" s="110"/>
      <c r="D36" s="110"/>
      <c r="E36" s="110"/>
      <c r="F36" s="110"/>
      <c r="G36" s="110"/>
      <c r="H36" s="110"/>
      <c r="I36" s="84"/>
      <c r="J36" s="110"/>
      <c r="K36" s="110" t="s">
        <v>121</v>
      </c>
      <c r="L36" s="158"/>
      <c r="M36" s="110" t="str">
        <f>IF(午前観測!W24&gt;=0,"+","-")</f>
        <v>-</v>
      </c>
      <c r="N36" s="281">
        <f>ABS(午前観測!W24)</f>
        <v>1.3573787582028984</v>
      </c>
      <c r="O36" s="110"/>
      <c r="P36" s="110"/>
      <c r="Q36" s="110"/>
      <c r="R36" s="273"/>
      <c r="S36" s="269"/>
      <c r="T36" s="110" t="s">
        <v>81</v>
      </c>
      <c r="U36" s="110"/>
      <c r="V36" s="110">
        <f>正午観測!J20</f>
        <v>4</v>
      </c>
      <c r="W36" s="110" t="s">
        <v>76</v>
      </c>
      <c r="X36" s="291">
        <f>TRUNC(正午観測!L20)</f>
        <v>22</v>
      </c>
      <c r="Y36" s="110" t="s">
        <v>77</v>
      </c>
      <c r="Z36" s="110">
        <f>正午観測!N20</f>
        <v>0</v>
      </c>
      <c r="AA36" s="272" t="s">
        <v>41</v>
      </c>
      <c r="AB36" s="84"/>
      <c r="AC36" s="110"/>
      <c r="AD36" s="110"/>
      <c r="AE36" s="110"/>
      <c r="AF36" s="110"/>
      <c r="AG36" s="110"/>
      <c r="AH36" s="110"/>
      <c r="AI36" s="110"/>
      <c r="AJ36" s="110"/>
      <c r="AK36" s="273"/>
    </row>
    <row r="37" spans="1:37" x14ac:dyDescent="0.4">
      <c r="A37" s="269"/>
      <c r="B37" s="110"/>
      <c r="C37" s="110"/>
      <c r="D37" s="110"/>
      <c r="E37" s="110"/>
      <c r="F37" s="110"/>
      <c r="G37" s="110"/>
      <c r="H37" s="110"/>
      <c r="I37" s="84"/>
      <c r="J37" s="110"/>
      <c r="K37" s="110"/>
      <c r="L37" s="158"/>
      <c r="M37" s="110"/>
      <c r="N37" s="158"/>
      <c r="O37" s="110"/>
      <c r="P37" s="110"/>
      <c r="Q37" s="110"/>
      <c r="R37" s="273"/>
      <c r="S37" s="269"/>
      <c r="T37" s="196" t="s">
        <v>82</v>
      </c>
      <c r="U37" s="196"/>
      <c r="V37" s="196"/>
      <c r="W37" s="196"/>
      <c r="X37" s="196">
        <f>正午観測!L21</f>
        <v>13</v>
      </c>
      <c r="Y37" s="196" t="s">
        <v>77</v>
      </c>
      <c r="Z37" s="300">
        <f>正午観測!N21</f>
        <v>14</v>
      </c>
      <c r="AA37" s="301" t="s">
        <v>41</v>
      </c>
      <c r="AB37" s="84"/>
      <c r="AC37" s="110"/>
      <c r="AD37" s="110"/>
      <c r="AE37" s="110"/>
      <c r="AF37" s="110"/>
      <c r="AG37" s="110"/>
      <c r="AH37" s="110"/>
      <c r="AI37" s="110"/>
      <c r="AJ37" s="110"/>
      <c r="AK37" s="273"/>
    </row>
    <row r="38" spans="1:37" x14ac:dyDescent="0.4">
      <c r="A38" s="269"/>
      <c r="B38" s="110"/>
      <c r="C38" s="110"/>
      <c r="D38" s="110"/>
      <c r="E38" s="110"/>
      <c r="F38" s="110"/>
      <c r="G38" s="110"/>
      <c r="H38" s="110"/>
      <c r="I38" s="84"/>
      <c r="J38" s="110"/>
      <c r="K38" s="110" t="s">
        <v>122</v>
      </c>
      <c r="L38" s="158"/>
      <c r="M38" s="110" t="str">
        <f>IF(午前観測!R5&gt;=0,"+","-")</f>
        <v>+</v>
      </c>
      <c r="N38" s="281">
        <f>ABS(午前観測!R5)</f>
        <v>2.7727758783717604</v>
      </c>
      <c r="O38" s="110"/>
      <c r="P38" s="110"/>
      <c r="Q38" s="110"/>
      <c r="R38" s="273"/>
      <c r="S38" s="269"/>
      <c r="T38" s="110" t="s">
        <v>19</v>
      </c>
      <c r="U38" s="110"/>
      <c r="V38" s="110">
        <f>正午観測!J22</f>
        <v>4</v>
      </c>
      <c r="W38" s="110" t="s">
        <v>76</v>
      </c>
      <c r="X38" s="291">
        <f>正午観測!L22</f>
        <v>35</v>
      </c>
      <c r="Y38" s="110" t="s">
        <v>77</v>
      </c>
      <c r="Z38" s="291">
        <f>正午観測!N22</f>
        <v>57.301717242306438</v>
      </c>
      <c r="AA38" s="272" t="s">
        <v>41</v>
      </c>
      <c r="AB38" s="84"/>
      <c r="AC38" s="110"/>
      <c r="AD38" s="110"/>
      <c r="AE38" s="110"/>
      <c r="AF38" s="110"/>
      <c r="AG38" s="110"/>
      <c r="AH38" s="110"/>
      <c r="AI38" s="110"/>
      <c r="AJ38" s="110"/>
      <c r="AK38" s="273"/>
    </row>
    <row r="39" spans="1:37" ht="19.5" thickBot="1" x14ac:dyDescent="0.45">
      <c r="A39" s="269"/>
      <c r="B39" s="110"/>
      <c r="C39" s="110"/>
      <c r="D39" s="110"/>
      <c r="E39" s="110"/>
      <c r="F39" s="110"/>
      <c r="G39" s="110"/>
      <c r="H39" s="110"/>
      <c r="I39" s="84"/>
      <c r="J39" s="293"/>
      <c r="K39" s="293"/>
      <c r="L39" s="302"/>
      <c r="M39" s="293"/>
      <c r="N39" s="302"/>
      <c r="O39" s="293"/>
      <c r="P39" s="293"/>
      <c r="Q39" s="293"/>
      <c r="R39" s="294"/>
      <c r="S39" s="269"/>
      <c r="T39" s="196" t="s">
        <v>67</v>
      </c>
      <c r="U39" s="196"/>
      <c r="V39" s="196">
        <f>正午観測!J23</f>
        <v>9</v>
      </c>
      <c r="W39" s="196" t="s">
        <v>76</v>
      </c>
      <c r="X39" s="300">
        <f>正午観測!L23</f>
        <v>0</v>
      </c>
      <c r="Y39" s="196" t="s">
        <v>77</v>
      </c>
      <c r="Z39" s="196">
        <f>正午観測!N23</f>
        <v>0</v>
      </c>
      <c r="AA39" s="301" t="s">
        <v>41</v>
      </c>
      <c r="AB39" s="84"/>
      <c r="AC39" s="110"/>
      <c r="AD39" s="110"/>
      <c r="AE39" s="110"/>
      <c r="AF39" s="110"/>
      <c r="AG39" s="110"/>
      <c r="AH39" s="110"/>
      <c r="AI39" s="110"/>
      <c r="AJ39" s="110"/>
      <c r="AK39" s="273"/>
    </row>
    <row r="40" spans="1:37" x14ac:dyDescent="0.4">
      <c r="A40" s="269"/>
      <c r="B40" s="110"/>
      <c r="C40" s="110"/>
      <c r="D40" s="110"/>
      <c r="E40" s="110"/>
      <c r="F40" s="110"/>
      <c r="G40" s="110"/>
      <c r="H40" s="110"/>
      <c r="I40" s="84"/>
      <c r="J40" s="303"/>
      <c r="K40" s="303"/>
      <c r="L40" s="304"/>
      <c r="M40" s="303"/>
      <c r="N40" s="304"/>
      <c r="O40" s="303"/>
      <c r="P40" s="303"/>
      <c r="Q40" s="303"/>
      <c r="R40" s="305"/>
      <c r="S40" s="269"/>
      <c r="T40" s="110" t="s">
        <v>123</v>
      </c>
      <c r="U40" s="110"/>
      <c r="V40" s="110">
        <f>正午観測!J24</f>
        <v>13</v>
      </c>
      <c r="W40" s="110" t="s">
        <v>76</v>
      </c>
      <c r="X40" s="291">
        <f>正午観測!L24</f>
        <v>35</v>
      </c>
      <c r="Y40" s="110" t="s">
        <v>77</v>
      </c>
      <c r="Z40" s="291">
        <f>正午観測!N24</f>
        <v>57.30171724230204</v>
      </c>
      <c r="AA40" s="272" t="s">
        <v>41</v>
      </c>
      <c r="AB40" s="84"/>
      <c r="AC40" s="110"/>
      <c r="AD40" s="110"/>
      <c r="AE40" s="110"/>
      <c r="AF40" s="110"/>
      <c r="AG40" s="110"/>
      <c r="AH40" s="110"/>
      <c r="AI40" s="110"/>
      <c r="AJ40" s="110"/>
      <c r="AK40" s="273"/>
    </row>
    <row r="41" spans="1:37" ht="19.5" thickBot="1" x14ac:dyDescent="0.45">
      <c r="A41" s="306"/>
      <c r="B41" s="132"/>
      <c r="C41" s="132"/>
      <c r="D41" s="132"/>
      <c r="E41" s="132"/>
      <c r="F41" s="132"/>
      <c r="G41" s="132"/>
      <c r="H41" s="132"/>
      <c r="I41" s="89"/>
      <c r="J41" s="132"/>
      <c r="K41" s="132"/>
      <c r="L41" s="307"/>
      <c r="M41" s="132"/>
      <c r="N41" s="307"/>
      <c r="O41" s="132"/>
      <c r="P41" s="132"/>
      <c r="Q41" s="132"/>
      <c r="R41" s="308"/>
      <c r="S41" s="110"/>
      <c r="T41" s="110"/>
      <c r="U41" s="110"/>
      <c r="V41" s="110"/>
      <c r="W41" s="110"/>
      <c r="X41" s="110"/>
      <c r="Y41" s="110"/>
      <c r="Z41" s="110"/>
      <c r="AA41" s="110"/>
      <c r="AB41" s="84"/>
      <c r="AC41" s="110"/>
      <c r="AD41" s="110"/>
      <c r="AE41" s="110"/>
      <c r="AF41" s="110"/>
      <c r="AG41" s="110"/>
      <c r="AH41" s="110"/>
      <c r="AI41" s="110"/>
      <c r="AJ41" s="110"/>
      <c r="AK41" s="309"/>
    </row>
    <row r="42" spans="1:37" ht="19.5" thickBot="1" x14ac:dyDescent="0.45">
      <c r="A42" s="310" t="str">
        <f>午前観測!A2</f>
        <v>Ver.1.1.8 Created by Very Micro Soft</v>
      </c>
      <c r="B42" s="311"/>
      <c r="C42" s="311"/>
      <c r="D42" s="311"/>
      <c r="E42" s="311"/>
      <c r="F42" s="311"/>
      <c r="G42" s="311"/>
      <c r="H42" s="311"/>
      <c r="I42" s="311"/>
      <c r="J42" s="311"/>
      <c r="K42" s="311"/>
      <c r="L42" s="311"/>
      <c r="M42" s="311"/>
      <c r="N42" s="311"/>
      <c r="O42" s="311"/>
      <c r="P42" s="311"/>
      <c r="Q42" s="311"/>
      <c r="R42" s="311"/>
      <c r="S42" s="311"/>
      <c r="T42" s="311"/>
      <c r="U42" s="311"/>
      <c r="V42" s="311"/>
      <c r="W42" s="311"/>
      <c r="X42" s="311"/>
      <c r="Y42" s="311"/>
      <c r="Z42" s="311"/>
      <c r="AA42" s="311"/>
      <c r="AB42" s="311"/>
      <c r="AC42" s="311"/>
      <c r="AD42" s="311"/>
      <c r="AE42" s="311"/>
      <c r="AF42" s="311"/>
      <c r="AG42" s="311"/>
      <c r="AH42" s="311"/>
      <c r="AI42" s="311"/>
      <c r="AJ42" s="311"/>
      <c r="AK42" s="312"/>
    </row>
  </sheetData>
  <mergeCells count="8">
    <mergeCell ref="A42:AK42"/>
    <mergeCell ref="A2:R2"/>
    <mergeCell ref="S2:AK2"/>
    <mergeCell ref="A4:A6"/>
    <mergeCell ref="S4:S6"/>
    <mergeCell ref="A8:A22"/>
    <mergeCell ref="S8:S22"/>
    <mergeCell ref="K19:L19"/>
  </mergeCells>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82518-159E-4A34-8301-929A80606B7D}">
  <dimension ref="A1:G59"/>
  <sheetViews>
    <sheetView workbookViewId="0"/>
  </sheetViews>
  <sheetFormatPr defaultRowHeight="18.75" x14ac:dyDescent="0.4"/>
  <sheetData>
    <row r="1" spans="1:7" ht="19.5" thickBot="1" x14ac:dyDescent="0.45">
      <c r="A1" s="1"/>
      <c r="B1" s="1"/>
      <c r="C1" s="1"/>
      <c r="D1" s="1"/>
      <c r="E1" s="1"/>
      <c r="F1" s="1"/>
      <c r="G1" s="1"/>
    </row>
    <row r="2" spans="1:7" ht="19.5" thickBot="1" x14ac:dyDescent="0.45">
      <c r="A2" s="1"/>
      <c r="B2" s="64" t="s">
        <v>28</v>
      </c>
      <c r="C2" s="65"/>
      <c r="D2" s="65"/>
      <c r="E2" s="65"/>
      <c r="F2" s="65"/>
      <c r="G2" s="66"/>
    </row>
    <row r="3" spans="1:7" ht="19.5" thickBot="1" x14ac:dyDescent="0.45">
      <c r="A3" s="1"/>
      <c r="B3" s="64" t="s">
        <v>141</v>
      </c>
      <c r="C3" s="65"/>
      <c r="D3" s="66"/>
      <c r="E3" s="64" t="s">
        <v>142</v>
      </c>
      <c r="F3" s="65"/>
      <c r="G3" s="66"/>
    </row>
    <row r="4" spans="1:7" ht="27.75" thickBot="1" x14ac:dyDescent="0.45">
      <c r="A4" s="1"/>
      <c r="B4" s="47" t="s">
        <v>143</v>
      </c>
      <c r="C4" s="48" t="s">
        <v>144</v>
      </c>
      <c r="D4" s="49" t="s">
        <v>145</v>
      </c>
      <c r="E4" s="47" t="s">
        <v>143</v>
      </c>
      <c r="F4" s="48" t="s">
        <v>144</v>
      </c>
      <c r="G4" s="50" t="s">
        <v>145</v>
      </c>
    </row>
    <row r="5" spans="1:7" x14ac:dyDescent="0.4">
      <c r="A5" s="1"/>
      <c r="B5" s="51">
        <f>191/20</f>
        <v>9.5500000000000007</v>
      </c>
      <c r="C5" s="52"/>
      <c r="D5" s="53"/>
      <c r="E5" s="51">
        <f>193/20</f>
        <v>9.65</v>
      </c>
      <c r="F5" s="52"/>
      <c r="G5" s="54"/>
    </row>
    <row r="6" spans="1:7" x14ac:dyDescent="0.4">
      <c r="A6" s="1"/>
      <c r="B6" s="55">
        <f>39/4</f>
        <v>9.75</v>
      </c>
      <c r="C6" s="56">
        <v>10.8</v>
      </c>
      <c r="D6" s="57">
        <v>-21.2</v>
      </c>
      <c r="E6" s="55">
        <f>59/6</f>
        <v>9.8333333333333339</v>
      </c>
      <c r="F6" s="56">
        <v>10.6</v>
      </c>
      <c r="G6" s="58">
        <v>-21.2</v>
      </c>
    </row>
    <row r="7" spans="1:7" x14ac:dyDescent="0.4">
      <c r="A7" s="1"/>
      <c r="B7" s="55">
        <f>149/15</f>
        <v>9.9333333333333336</v>
      </c>
      <c r="C7" s="56">
        <v>10.9</v>
      </c>
      <c r="D7" s="57">
        <v>-21.1</v>
      </c>
      <c r="E7" s="55">
        <f>301/30</f>
        <v>10.033333333333333</v>
      </c>
      <c r="F7" s="56">
        <v>10.7</v>
      </c>
      <c r="G7" s="58">
        <v>-21.1</v>
      </c>
    </row>
    <row r="8" spans="1:7" x14ac:dyDescent="0.4">
      <c r="A8" s="1"/>
      <c r="B8" s="55">
        <f>152/15</f>
        <v>10.133333333333333</v>
      </c>
      <c r="C8" s="56">
        <v>11</v>
      </c>
      <c r="D8" s="57">
        <v>-21</v>
      </c>
      <c r="E8" s="55">
        <f>307/30</f>
        <v>10.233333333333333</v>
      </c>
      <c r="F8" s="56">
        <v>10.8</v>
      </c>
      <c r="G8" s="58">
        <v>-21</v>
      </c>
    </row>
    <row r="9" spans="1:7" x14ac:dyDescent="0.4">
      <c r="A9" s="1"/>
      <c r="B9" s="55">
        <f>31/3</f>
        <v>10.333333333333334</v>
      </c>
      <c r="C9" s="56">
        <v>11.1</v>
      </c>
      <c r="D9" s="57">
        <v>-20.9</v>
      </c>
      <c r="E9" s="55">
        <f>209/20</f>
        <v>10.45</v>
      </c>
      <c r="F9" s="56">
        <v>10.9</v>
      </c>
      <c r="G9" s="58">
        <v>-20.9</v>
      </c>
    </row>
    <row r="10" spans="1:7" x14ac:dyDescent="0.4">
      <c r="A10" s="1"/>
      <c r="B10" s="55">
        <f>211/20</f>
        <v>10.55</v>
      </c>
      <c r="C10" s="56">
        <v>11.2</v>
      </c>
      <c r="D10" s="57">
        <v>-20.8</v>
      </c>
      <c r="E10" s="55">
        <f>32/3</f>
        <v>10.666666666666666</v>
      </c>
      <c r="F10" s="56">
        <v>11</v>
      </c>
      <c r="G10" s="58">
        <v>-20.8</v>
      </c>
    </row>
    <row r="11" spans="1:7" x14ac:dyDescent="0.4">
      <c r="A11" s="1"/>
      <c r="B11" s="55">
        <f>323/30</f>
        <v>10.766666666666667</v>
      </c>
      <c r="C11" s="56">
        <v>11.3</v>
      </c>
      <c r="D11" s="57">
        <v>-20.7</v>
      </c>
      <c r="E11" s="55">
        <f>653/60</f>
        <v>10.883333333333333</v>
      </c>
      <c r="F11" s="56">
        <v>11.1</v>
      </c>
      <c r="G11" s="58">
        <v>-20.7</v>
      </c>
    </row>
    <row r="12" spans="1:7" x14ac:dyDescent="0.4">
      <c r="A12" s="1"/>
      <c r="B12" s="55">
        <v>11</v>
      </c>
      <c r="C12" s="56">
        <v>11.4</v>
      </c>
      <c r="D12" s="57">
        <v>-20.6</v>
      </c>
      <c r="E12" s="55">
        <f>667/60</f>
        <v>11.116666666666667</v>
      </c>
      <c r="F12" s="56">
        <v>11.2</v>
      </c>
      <c r="G12" s="58">
        <v>-20.6</v>
      </c>
    </row>
    <row r="13" spans="1:7" x14ac:dyDescent="0.4">
      <c r="A13" s="1"/>
      <c r="B13" s="55">
        <f>45/4</f>
        <v>11.25</v>
      </c>
      <c r="C13" s="56">
        <v>11.5</v>
      </c>
      <c r="D13" s="57">
        <v>-20.5</v>
      </c>
      <c r="E13" s="55">
        <f>341/30</f>
        <v>11.366666666666667</v>
      </c>
      <c r="F13" s="56">
        <v>11.3</v>
      </c>
      <c r="G13" s="58">
        <v>-20.5</v>
      </c>
    </row>
    <row r="14" spans="1:7" x14ac:dyDescent="0.4">
      <c r="A14" s="1"/>
      <c r="B14" s="55">
        <f>23/2</f>
        <v>11.5</v>
      </c>
      <c r="C14" s="56">
        <v>11.6</v>
      </c>
      <c r="D14" s="57">
        <v>-20.399999999999999</v>
      </c>
      <c r="E14" s="55">
        <f>697/60</f>
        <v>11.616666666666667</v>
      </c>
      <c r="F14" s="56">
        <v>11.4</v>
      </c>
      <c r="G14" s="58">
        <v>-20.399999999999999</v>
      </c>
    </row>
    <row r="15" spans="1:7" x14ac:dyDescent="0.4">
      <c r="A15" s="1"/>
      <c r="B15" s="55">
        <f>47/4</f>
        <v>11.75</v>
      </c>
      <c r="C15" s="56">
        <v>11.7</v>
      </c>
      <c r="D15" s="57">
        <v>-20.3</v>
      </c>
      <c r="E15" s="55">
        <f>713/60</f>
        <v>11.883333333333333</v>
      </c>
      <c r="F15" s="56">
        <v>11.5</v>
      </c>
      <c r="G15" s="58">
        <v>-20.3</v>
      </c>
    </row>
    <row r="16" spans="1:7" x14ac:dyDescent="0.4">
      <c r="A16" s="1"/>
      <c r="B16" s="55">
        <f>721/60</f>
        <v>12.016666666666667</v>
      </c>
      <c r="C16" s="56">
        <v>11.8</v>
      </c>
      <c r="D16" s="57">
        <v>-20.2</v>
      </c>
      <c r="E16" s="55">
        <f>73/6</f>
        <v>12.166666666666666</v>
      </c>
      <c r="F16" s="56">
        <v>11.6</v>
      </c>
      <c r="G16" s="58">
        <v>-20.2</v>
      </c>
    </row>
    <row r="17" spans="1:7" x14ac:dyDescent="0.4">
      <c r="A17" s="1"/>
      <c r="B17" s="55">
        <f>12.3</f>
        <v>12.3</v>
      </c>
      <c r="C17" s="56">
        <v>11.9</v>
      </c>
      <c r="D17" s="57">
        <v>-20.100000000000001</v>
      </c>
      <c r="E17" s="55">
        <f>249/20</f>
        <v>12.45</v>
      </c>
      <c r="F17" s="56">
        <v>11.7</v>
      </c>
      <c r="G17" s="58">
        <v>-20.100000000000001</v>
      </c>
    </row>
    <row r="18" spans="1:7" x14ac:dyDescent="0.4">
      <c r="A18" s="1"/>
      <c r="B18" s="55">
        <f>63/5</f>
        <v>12.6</v>
      </c>
      <c r="C18" s="56">
        <v>12</v>
      </c>
      <c r="D18" s="57">
        <v>-20</v>
      </c>
      <c r="E18" s="55">
        <f>51/4</f>
        <v>12.75</v>
      </c>
      <c r="F18" s="56">
        <v>11.8</v>
      </c>
      <c r="G18" s="58">
        <v>-20</v>
      </c>
    </row>
    <row r="19" spans="1:7" x14ac:dyDescent="0.4">
      <c r="A19" s="1"/>
      <c r="B19" s="55">
        <v>12.9</v>
      </c>
      <c r="C19" s="56">
        <v>12.1</v>
      </c>
      <c r="D19" s="57">
        <v>-19.899999999999999</v>
      </c>
      <c r="E19" s="55">
        <f>196/15</f>
        <v>13.066666666666666</v>
      </c>
      <c r="F19" s="56">
        <v>11.9</v>
      </c>
      <c r="G19" s="58">
        <v>-19.899999999999999</v>
      </c>
    </row>
    <row r="20" spans="1:7" x14ac:dyDescent="0.4">
      <c r="A20" s="1"/>
      <c r="B20" s="55">
        <f>397/30</f>
        <v>13.233333333333333</v>
      </c>
      <c r="C20" s="56">
        <v>12.2</v>
      </c>
      <c r="D20" s="57">
        <v>-19.8</v>
      </c>
      <c r="E20" s="55">
        <f>67/5</f>
        <v>13.4</v>
      </c>
      <c r="F20" s="56">
        <v>12</v>
      </c>
      <c r="G20" s="58">
        <v>-19.8</v>
      </c>
    </row>
    <row r="21" spans="1:7" x14ac:dyDescent="0.4">
      <c r="A21" s="1"/>
      <c r="B21" s="55">
        <f>407/30</f>
        <v>13.566666666666666</v>
      </c>
      <c r="C21" s="56">
        <v>12.3</v>
      </c>
      <c r="D21" s="57">
        <v>-19.7</v>
      </c>
      <c r="E21" s="55">
        <f>206/15</f>
        <v>13.733333333333333</v>
      </c>
      <c r="F21" s="56">
        <v>12.1</v>
      </c>
      <c r="G21" s="58">
        <v>-19.7</v>
      </c>
    </row>
    <row r="22" spans="1:7" x14ac:dyDescent="0.4">
      <c r="A22" s="1"/>
      <c r="B22" s="55">
        <f>167/12</f>
        <v>13.916666666666666</v>
      </c>
      <c r="C22" s="56">
        <v>12.4</v>
      </c>
      <c r="D22" s="57">
        <v>-19.600000000000001</v>
      </c>
      <c r="E22" s="55">
        <f>141/10</f>
        <v>14.1</v>
      </c>
      <c r="F22" s="56">
        <v>12.2</v>
      </c>
      <c r="G22" s="58">
        <v>-19.600000000000001</v>
      </c>
    </row>
    <row r="23" spans="1:7" x14ac:dyDescent="0.4">
      <c r="A23" s="1"/>
      <c r="B23" s="55">
        <f>857/60</f>
        <v>14.283333333333333</v>
      </c>
      <c r="C23" s="56">
        <v>12.5</v>
      </c>
      <c r="D23" s="57">
        <v>-19.5</v>
      </c>
      <c r="E23" s="55">
        <f>869/60</f>
        <v>14.483333333333333</v>
      </c>
      <c r="F23" s="56">
        <v>12.3</v>
      </c>
      <c r="G23" s="58">
        <v>-19.5</v>
      </c>
    </row>
    <row r="24" spans="1:7" x14ac:dyDescent="0.4">
      <c r="A24" s="1"/>
      <c r="B24" s="55">
        <f>881/60</f>
        <v>14.683333333333334</v>
      </c>
      <c r="C24" s="56">
        <v>12.6</v>
      </c>
      <c r="D24" s="57">
        <v>-19.399999999999999</v>
      </c>
      <c r="E24" s="55">
        <f>893/60</f>
        <v>14.883333333333333</v>
      </c>
      <c r="F24" s="56">
        <v>12.4</v>
      </c>
      <c r="G24" s="58">
        <v>-19.399999999999999</v>
      </c>
    </row>
    <row r="25" spans="1:7" x14ac:dyDescent="0.4">
      <c r="A25" s="1"/>
      <c r="B25" s="55">
        <f>181/12</f>
        <v>15.083333333333334</v>
      </c>
      <c r="C25" s="56">
        <v>12.7</v>
      </c>
      <c r="D25" s="57">
        <v>-19.3</v>
      </c>
      <c r="E25" s="55">
        <f>153/10</f>
        <v>15.3</v>
      </c>
      <c r="F25" s="56">
        <v>12.5</v>
      </c>
      <c r="G25" s="58">
        <v>-19.3</v>
      </c>
    </row>
    <row r="26" spans="1:7" x14ac:dyDescent="0.4">
      <c r="A26" s="1"/>
      <c r="B26" s="55">
        <f>931/60</f>
        <v>15.516666666666667</v>
      </c>
      <c r="C26" s="56">
        <v>12.8</v>
      </c>
      <c r="D26" s="57">
        <v>-19.2</v>
      </c>
      <c r="E26" s="55">
        <f>63/4</f>
        <v>15.75</v>
      </c>
      <c r="F26" s="56">
        <v>12.6</v>
      </c>
      <c r="G26" s="58">
        <v>-19.2</v>
      </c>
    </row>
    <row r="27" spans="1:7" x14ac:dyDescent="0.4">
      <c r="A27" s="1"/>
      <c r="B27" s="55">
        <f>959/60</f>
        <v>15.983333333333333</v>
      </c>
      <c r="C27" s="56">
        <v>12.9</v>
      </c>
      <c r="D27" s="57">
        <v>-19.100000000000001</v>
      </c>
      <c r="E27" s="55">
        <f>973/60</f>
        <v>16.216666666666665</v>
      </c>
      <c r="F27" s="56">
        <v>12.7</v>
      </c>
      <c r="G27" s="58">
        <v>-19.100000000000001</v>
      </c>
    </row>
    <row r="28" spans="1:7" x14ac:dyDescent="0.4">
      <c r="A28" s="1"/>
      <c r="B28" s="55">
        <f>329/20</f>
        <v>16.45</v>
      </c>
      <c r="C28" s="56">
        <v>13</v>
      </c>
      <c r="D28" s="57">
        <v>-19</v>
      </c>
      <c r="E28" s="55">
        <f>1003/60</f>
        <v>16.716666666666665</v>
      </c>
      <c r="F28" s="56">
        <v>12.8</v>
      </c>
      <c r="G28" s="58">
        <v>-19</v>
      </c>
    </row>
    <row r="29" spans="1:7" x14ac:dyDescent="0.4">
      <c r="A29" s="1"/>
      <c r="B29" s="55">
        <f>509/30</f>
        <v>16.966666666666665</v>
      </c>
      <c r="C29" s="56">
        <v>13.1</v>
      </c>
      <c r="D29" s="57">
        <v>-18.899999999999999</v>
      </c>
      <c r="E29" s="55">
        <f>157/30</f>
        <v>5.2333333333333334</v>
      </c>
      <c r="F29" s="56">
        <v>12.9</v>
      </c>
      <c r="G29" s="58">
        <v>-18.899999999999999</v>
      </c>
    </row>
    <row r="30" spans="1:7" x14ac:dyDescent="0.4">
      <c r="A30" s="1"/>
      <c r="B30" s="55">
        <v>17.5</v>
      </c>
      <c r="C30" s="56">
        <v>13.2</v>
      </c>
      <c r="D30" s="57">
        <v>-18.8000000000001</v>
      </c>
      <c r="E30" s="55">
        <f>1067/60</f>
        <v>17.783333333333335</v>
      </c>
      <c r="F30" s="56">
        <v>13</v>
      </c>
      <c r="G30" s="58">
        <v>-18.8</v>
      </c>
    </row>
    <row r="31" spans="1:7" x14ac:dyDescent="0.4">
      <c r="A31" s="1"/>
      <c r="B31" s="55">
        <f>217/12</f>
        <v>18.083333333333332</v>
      </c>
      <c r="C31" s="56">
        <v>13.3</v>
      </c>
      <c r="D31" s="57">
        <v>-18.7</v>
      </c>
      <c r="E31" s="55">
        <f>1103/60</f>
        <v>18.383333333333333</v>
      </c>
      <c r="F31" s="56">
        <v>13.1</v>
      </c>
      <c r="G31" s="58">
        <v>-18.7</v>
      </c>
    </row>
    <row r="32" spans="1:7" x14ac:dyDescent="0.4">
      <c r="A32" s="1"/>
      <c r="B32" s="55">
        <f>1121/60</f>
        <v>18.683333333333334</v>
      </c>
      <c r="C32" s="56">
        <v>13.4</v>
      </c>
      <c r="D32" s="57">
        <v>-18.600000000000101</v>
      </c>
      <c r="E32" s="55">
        <f>19</f>
        <v>19</v>
      </c>
      <c r="F32" s="56">
        <v>13.2</v>
      </c>
      <c r="G32" s="58">
        <v>-18.600000000000001</v>
      </c>
    </row>
    <row r="33" spans="1:7" x14ac:dyDescent="0.4">
      <c r="A33" s="1"/>
      <c r="B33" s="55">
        <f>58/3</f>
        <v>19.333333333333332</v>
      </c>
      <c r="C33" s="56">
        <v>13.5</v>
      </c>
      <c r="D33" s="57">
        <v>-18.500000000000099</v>
      </c>
      <c r="E33" s="55">
        <f>1181/60</f>
        <v>19.683333333333334</v>
      </c>
      <c r="F33" s="56">
        <v>13.3</v>
      </c>
      <c r="G33" s="58">
        <v>-18.5</v>
      </c>
    </row>
    <row r="34" spans="1:7" x14ac:dyDescent="0.4">
      <c r="A34" s="1"/>
      <c r="B34" s="55">
        <f>601/30</f>
        <v>20.033333333333335</v>
      </c>
      <c r="C34" s="56">
        <v>13.6</v>
      </c>
      <c r="D34" s="57">
        <v>-18.400000000000102</v>
      </c>
      <c r="E34" s="55">
        <f>102/5</f>
        <v>20.399999999999999</v>
      </c>
      <c r="F34" s="56">
        <v>13.4</v>
      </c>
      <c r="G34" s="58">
        <v>-18.399999999999999</v>
      </c>
    </row>
    <row r="35" spans="1:7" x14ac:dyDescent="0.4">
      <c r="A35" s="1"/>
      <c r="B35" s="55">
        <f>623/30</f>
        <v>20.766666666666666</v>
      </c>
      <c r="C35" s="56">
        <v>13.7</v>
      </c>
      <c r="D35" s="57">
        <v>-18.3000000000001</v>
      </c>
      <c r="E35" s="55">
        <f>127/6</f>
        <v>21.166666666666668</v>
      </c>
      <c r="F35" s="56">
        <v>13.5</v>
      </c>
      <c r="G35" s="58">
        <v>-18.3</v>
      </c>
    </row>
    <row r="36" spans="1:7" x14ac:dyDescent="0.4">
      <c r="A36" s="1"/>
      <c r="B36" s="55">
        <f>647/30</f>
        <v>21.566666666666666</v>
      </c>
      <c r="C36" s="56">
        <v>13.8</v>
      </c>
      <c r="D36" s="57">
        <v>-18.200000000000099</v>
      </c>
      <c r="E36" s="55">
        <f>1319/60</f>
        <v>21.983333333333334</v>
      </c>
      <c r="F36" s="56">
        <v>13.6</v>
      </c>
      <c r="G36" s="58">
        <v>-18.2</v>
      </c>
    </row>
    <row r="37" spans="1:7" x14ac:dyDescent="0.4">
      <c r="A37" s="1"/>
      <c r="B37" s="55">
        <f>269/12</f>
        <v>22.416666666666668</v>
      </c>
      <c r="C37" s="56">
        <v>13.9</v>
      </c>
      <c r="D37" s="57">
        <v>-18.100000000000101</v>
      </c>
      <c r="E37" s="55">
        <f>343/15</f>
        <v>22.866666666666667</v>
      </c>
      <c r="F37" s="56">
        <v>13.7</v>
      </c>
      <c r="G37" s="58">
        <v>-18.100000000000001</v>
      </c>
    </row>
    <row r="38" spans="1:7" x14ac:dyDescent="0.4">
      <c r="A38" s="59"/>
      <c r="B38" s="55">
        <f>70/3</f>
        <v>23.333333333333332</v>
      </c>
      <c r="C38" s="56">
        <v>14</v>
      </c>
      <c r="D38" s="57">
        <v>-18.000000000000099</v>
      </c>
      <c r="E38" s="55">
        <f>1429/60</f>
        <v>23.816666666666666</v>
      </c>
      <c r="F38" s="56">
        <v>13.8</v>
      </c>
      <c r="G38" s="58">
        <v>-18</v>
      </c>
    </row>
    <row r="39" spans="1:7" x14ac:dyDescent="0.4">
      <c r="A39" s="1"/>
      <c r="B39" s="55">
        <f>73/3</f>
        <v>24.333333333333332</v>
      </c>
      <c r="C39" s="56">
        <v>14.1</v>
      </c>
      <c r="D39" s="57">
        <v>-17.900000000000102</v>
      </c>
      <c r="E39" s="55">
        <f>497/20</f>
        <v>24.85</v>
      </c>
      <c r="F39" s="56">
        <v>13.9</v>
      </c>
      <c r="G39" s="58">
        <v>-17.899999999999999</v>
      </c>
    </row>
    <row r="40" spans="1:7" x14ac:dyDescent="0.4">
      <c r="A40" s="1"/>
      <c r="B40" s="55">
        <f>127/5</f>
        <v>25.4</v>
      </c>
      <c r="C40" s="56">
        <v>14.2</v>
      </c>
      <c r="D40" s="57">
        <v>-17.8000000000001</v>
      </c>
      <c r="E40" s="55">
        <f>779/30</f>
        <v>25.966666666666665</v>
      </c>
      <c r="F40" s="56">
        <v>14</v>
      </c>
      <c r="G40" s="58">
        <v>-17.8</v>
      </c>
    </row>
    <row r="41" spans="1:7" x14ac:dyDescent="0.4">
      <c r="A41" s="1"/>
      <c r="B41" s="55">
        <f>797/30</f>
        <v>26.566666666666666</v>
      </c>
      <c r="C41" s="56">
        <v>14.3</v>
      </c>
      <c r="D41" s="57">
        <v>-17.700000000000099</v>
      </c>
      <c r="E41" s="55">
        <f>1631/60</f>
        <v>27.183333333333334</v>
      </c>
      <c r="F41" s="56">
        <v>14.1</v>
      </c>
      <c r="G41" s="58">
        <v>-17.7</v>
      </c>
    </row>
    <row r="42" spans="1:7" x14ac:dyDescent="0.4">
      <c r="A42" s="1"/>
      <c r="B42" s="55">
        <f>167/6</f>
        <v>27.833333333333332</v>
      </c>
      <c r="C42" s="56">
        <v>14.4</v>
      </c>
      <c r="D42" s="57">
        <v>-17.600000000000101</v>
      </c>
      <c r="E42" s="55">
        <v>28.516666666666701</v>
      </c>
      <c r="F42" s="56">
        <v>14.2</v>
      </c>
      <c r="G42" s="58">
        <v>-17.600000000000001</v>
      </c>
    </row>
    <row r="43" spans="1:7" x14ac:dyDescent="0.4">
      <c r="A43" s="1"/>
      <c r="B43" s="55">
        <f>1753/60</f>
        <v>29.216666666666665</v>
      </c>
      <c r="C43" s="56">
        <v>14.5</v>
      </c>
      <c r="D43" s="57">
        <v>-17.500000000000099</v>
      </c>
      <c r="E43" s="55">
        <f>899/30</f>
        <v>29.966666666666665</v>
      </c>
      <c r="F43" s="56">
        <v>14.3</v>
      </c>
      <c r="G43" s="58">
        <v>-17.5</v>
      </c>
    </row>
    <row r="44" spans="1:7" x14ac:dyDescent="0.4">
      <c r="A44" s="1"/>
      <c r="B44" s="55">
        <f>461/15</f>
        <v>30.733333333333334</v>
      </c>
      <c r="C44" s="56">
        <v>14.6</v>
      </c>
      <c r="D44" s="57">
        <v>-17.400000000000102</v>
      </c>
      <c r="E44" s="55">
        <f>631/20</f>
        <v>31.55</v>
      </c>
      <c r="F44" s="56">
        <v>14.4</v>
      </c>
      <c r="G44" s="58">
        <v>-17.399999999999999</v>
      </c>
    </row>
    <row r="45" spans="1:7" x14ac:dyDescent="0.4">
      <c r="A45" s="1"/>
      <c r="B45" s="55">
        <f>162/5</f>
        <v>32.4</v>
      </c>
      <c r="C45" s="56">
        <v>14.7</v>
      </c>
      <c r="D45" s="57">
        <v>-17.3000000000001</v>
      </c>
      <c r="E45" s="55">
        <f>333/10</f>
        <v>33.299999999999997</v>
      </c>
      <c r="F45" s="56">
        <v>14.5</v>
      </c>
      <c r="G45" s="58">
        <v>-17.3</v>
      </c>
    </row>
    <row r="46" spans="1:7" x14ac:dyDescent="0.4">
      <c r="A46" s="1"/>
      <c r="B46" s="55">
        <f>1027/30</f>
        <v>34.233333333333334</v>
      </c>
      <c r="C46" s="56">
        <v>14.8</v>
      </c>
      <c r="D46" s="57">
        <v>-17.200000000000099</v>
      </c>
      <c r="E46" s="55">
        <f>141/4</f>
        <v>35.25</v>
      </c>
      <c r="F46" s="56">
        <v>14.6</v>
      </c>
      <c r="G46" s="58">
        <v>-17.2</v>
      </c>
    </row>
    <row r="47" spans="1:7" x14ac:dyDescent="0.4">
      <c r="A47" s="1"/>
      <c r="B47" s="55">
        <f>2177/60</f>
        <v>36.283333333333331</v>
      </c>
      <c r="C47" s="56">
        <v>14.9</v>
      </c>
      <c r="D47" s="57">
        <v>-17.100000000000101</v>
      </c>
      <c r="E47" s="55">
        <f>187/5</f>
        <v>37.4</v>
      </c>
      <c r="F47" s="56">
        <v>14.7</v>
      </c>
      <c r="G47" s="58">
        <v>-17.100000000000001</v>
      </c>
    </row>
    <row r="48" spans="1:7" x14ac:dyDescent="0.4">
      <c r="A48" s="1"/>
      <c r="B48" s="55">
        <f>1157/30</f>
        <v>38.56666666666667</v>
      </c>
      <c r="C48" s="56">
        <v>15</v>
      </c>
      <c r="D48" s="57">
        <v>-17.000000000000099</v>
      </c>
      <c r="E48" s="55">
        <f>199/5</f>
        <v>39.799999999999997</v>
      </c>
      <c r="F48" s="56">
        <v>14.8</v>
      </c>
      <c r="G48" s="58">
        <v>-17</v>
      </c>
    </row>
    <row r="49" spans="1:7" x14ac:dyDescent="0.4">
      <c r="A49" s="1"/>
      <c r="B49" s="55">
        <f>411/10</f>
        <v>41.1</v>
      </c>
      <c r="C49" s="56">
        <v>15.1</v>
      </c>
      <c r="D49" s="57">
        <v>-16.900000000000102</v>
      </c>
      <c r="E49" s="55">
        <f>637/15</f>
        <v>42.466666666666669</v>
      </c>
      <c r="F49" s="56">
        <v>14.9</v>
      </c>
      <c r="G49" s="58">
        <v>-16.899999999999999</v>
      </c>
    </row>
    <row r="50" spans="1:7" x14ac:dyDescent="0.4">
      <c r="A50" s="1"/>
      <c r="B50" s="55">
        <f>659/15</f>
        <v>43.93333333333333</v>
      </c>
      <c r="C50" s="56">
        <v>15.2</v>
      </c>
      <c r="D50" s="57">
        <v>-16.8000000000001</v>
      </c>
      <c r="E50" s="55">
        <f>2729/60</f>
        <v>45.483333333333334</v>
      </c>
      <c r="F50" s="56">
        <v>15</v>
      </c>
      <c r="G50" s="58">
        <v>-16.8</v>
      </c>
    </row>
    <row r="51" spans="1:7" x14ac:dyDescent="0.4">
      <c r="A51" s="1"/>
      <c r="B51" s="55">
        <f>2827/60</f>
        <v>47.116666666666667</v>
      </c>
      <c r="C51" s="56">
        <v>15.3</v>
      </c>
      <c r="D51" s="57">
        <v>-16.700000000000099</v>
      </c>
      <c r="E51" s="55">
        <f>733/15</f>
        <v>48.866666666666667</v>
      </c>
      <c r="F51" s="56">
        <v>15.1</v>
      </c>
      <c r="G51" s="58">
        <v>-16.7</v>
      </c>
    </row>
    <row r="52" spans="1:7" x14ac:dyDescent="0.4">
      <c r="A52" s="1"/>
      <c r="B52" s="55">
        <f>3043/60</f>
        <v>50.716666666666669</v>
      </c>
      <c r="C52" s="56">
        <v>15.4</v>
      </c>
      <c r="D52" s="57">
        <v>-16.600000000000101</v>
      </c>
      <c r="E52" s="55">
        <f>3161/60</f>
        <v>52.68333333333333</v>
      </c>
      <c r="F52" s="56">
        <v>15.2</v>
      </c>
      <c r="G52" s="58">
        <v>-16.600000000000001</v>
      </c>
    </row>
    <row r="53" spans="1:7" x14ac:dyDescent="0.4">
      <c r="A53" s="1"/>
      <c r="B53" s="55">
        <f>1643/30</f>
        <v>54.766666666666666</v>
      </c>
      <c r="C53" s="56">
        <v>15.5</v>
      </c>
      <c r="D53" s="57">
        <v>-16.500000000000099</v>
      </c>
      <c r="E53" s="55">
        <f>3419/60</f>
        <v>56.983333333333334</v>
      </c>
      <c r="F53" s="56">
        <v>15.3</v>
      </c>
      <c r="G53" s="58">
        <v>-16.5</v>
      </c>
    </row>
    <row r="54" spans="1:7" x14ac:dyDescent="0.4">
      <c r="A54" s="1"/>
      <c r="B54" s="55">
        <f>1187/20</f>
        <v>59.35</v>
      </c>
      <c r="C54" s="56">
        <v>15.6</v>
      </c>
      <c r="D54" s="57">
        <v>-16.400000000000102</v>
      </c>
      <c r="E54" s="55">
        <f>371/6</f>
        <v>61.833333333333336</v>
      </c>
      <c r="F54" s="56">
        <v>15.4</v>
      </c>
      <c r="G54" s="58">
        <v>-16.399999999999999</v>
      </c>
    </row>
    <row r="55" spans="1:7" x14ac:dyDescent="0.4">
      <c r="A55" s="1"/>
      <c r="B55" s="55">
        <f>967/15</f>
        <v>64.466666666666669</v>
      </c>
      <c r="C55" s="56">
        <v>15.7</v>
      </c>
      <c r="D55" s="57">
        <v>-16.3000000000001</v>
      </c>
      <c r="E55" s="55">
        <f>269/4</f>
        <v>67.25</v>
      </c>
      <c r="F55" s="56">
        <v>15.5</v>
      </c>
      <c r="G55" s="58">
        <v>-16.3</v>
      </c>
    </row>
    <row r="56" spans="1:7" x14ac:dyDescent="0.4">
      <c r="A56" s="1"/>
      <c r="B56" s="55">
        <f>421/6</f>
        <v>70.166666666666671</v>
      </c>
      <c r="C56" s="56">
        <v>15.8</v>
      </c>
      <c r="D56" s="57">
        <v>-16.200000000000099</v>
      </c>
      <c r="E56" s="55">
        <v>73.233333333333334</v>
      </c>
      <c r="F56" s="56">
        <v>15.6</v>
      </c>
      <c r="G56" s="58">
        <v>-16.2</v>
      </c>
    </row>
    <row r="57" spans="1:7" x14ac:dyDescent="0.4">
      <c r="A57" s="1"/>
      <c r="B57" s="55">
        <f>382/5</f>
        <v>76.400000000000006</v>
      </c>
      <c r="C57" s="56">
        <v>15.9</v>
      </c>
      <c r="D57" s="57">
        <v>-16.100000000000101</v>
      </c>
      <c r="E57" s="55">
        <f>79.7</f>
        <v>79.7</v>
      </c>
      <c r="F57" s="56">
        <v>15.7</v>
      </c>
      <c r="G57" s="58">
        <v>-16.100000000000001</v>
      </c>
    </row>
    <row r="58" spans="1:7" x14ac:dyDescent="0.4">
      <c r="A58" s="1"/>
      <c r="B58" s="55">
        <f>997/12</f>
        <v>83.083333333333329</v>
      </c>
      <c r="C58" s="56">
        <v>16</v>
      </c>
      <c r="D58" s="57">
        <v>-16.000000000000099</v>
      </c>
      <c r="E58" s="55">
        <f>5191/60</f>
        <v>86.516666666666666</v>
      </c>
      <c r="F58" s="56">
        <v>15.8</v>
      </c>
      <c r="G58" s="58">
        <v>-16</v>
      </c>
    </row>
    <row r="59" spans="1:7" ht="19.5" thickBot="1" x14ac:dyDescent="0.45">
      <c r="A59" s="1"/>
      <c r="B59" s="60">
        <f>90</f>
        <v>90</v>
      </c>
      <c r="C59" s="61">
        <v>16.100000000000001</v>
      </c>
      <c r="D59" s="62">
        <v>-15.9000000000001</v>
      </c>
      <c r="E59" s="60">
        <v>90</v>
      </c>
      <c r="F59" s="61">
        <v>15.9</v>
      </c>
      <c r="G59" s="63">
        <v>-15.9</v>
      </c>
    </row>
  </sheetData>
  <mergeCells count="3">
    <mergeCell ref="B2:G2"/>
    <mergeCell ref="B3:D3"/>
    <mergeCell ref="E3:G3"/>
  </mergeCells>
  <phoneticPr fontId="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FA59F-162E-44DA-8CD5-C352F6935BE1}">
  <dimension ref="A1:C58"/>
  <sheetViews>
    <sheetView workbookViewId="0"/>
  </sheetViews>
  <sheetFormatPr defaultRowHeight="18.75" x14ac:dyDescent="0.4"/>
  <sheetData>
    <row r="1" spans="1:3" x14ac:dyDescent="0.4">
      <c r="A1" s="1"/>
      <c r="B1" s="1"/>
      <c r="C1" s="1"/>
    </row>
    <row r="2" spans="1:3" x14ac:dyDescent="0.4">
      <c r="A2" s="1"/>
      <c r="B2" s="1" t="s">
        <v>57</v>
      </c>
      <c r="C2" s="1"/>
    </row>
    <row r="3" spans="1:3" x14ac:dyDescent="0.4">
      <c r="A3" s="1"/>
      <c r="B3" s="1" t="s">
        <v>139</v>
      </c>
      <c r="C3" s="1" t="s">
        <v>140</v>
      </c>
    </row>
    <row r="4" spans="1:3" x14ac:dyDescent="0.4">
      <c r="A4" s="1"/>
      <c r="B4" s="1">
        <v>2.4</v>
      </c>
      <c r="C4" s="1"/>
    </row>
    <row r="5" spans="1:3" x14ac:dyDescent="0.4">
      <c r="A5" s="1"/>
      <c r="B5" s="1">
        <v>2.6</v>
      </c>
      <c r="C5" s="1">
        <v>2.8</v>
      </c>
    </row>
    <row r="6" spans="1:3" x14ac:dyDescent="0.4">
      <c r="A6" s="1"/>
      <c r="B6" s="1">
        <v>2.8</v>
      </c>
      <c r="C6" s="1">
        <v>2.9</v>
      </c>
    </row>
    <row r="7" spans="1:3" x14ac:dyDescent="0.4">
      <c r="A7" s="1"/>
      <c r="B7" s="1">
        <v>3</v>
      </c>
      <c r="C7" s="1">
        <v>3</v>
      </c>
    </row>
    <row r="8" spans="1:3" x14ac:dyDescent="0.4">
      <c r="A8" s="1"/>
      <c r="B8" s="1">
        <v>3.2</v>
      </c>
      <c r="C8" s="1">
        <v>3.1</v>
      </c>
    </row>
    <row r="9" spans="1:3" x14ac:dyDescent="0.4">
      <c r="A9" s="1"/>
      <c r="B9" s="1">
        <v>3.4</v>
      </c>
      <c r="C9" s="1">
        <v>3.2</v>
      </c>
    </row>
    <row r="10" spans="1:3" x14ac:dyDescent="0.4">
      <c r="A10" s="1"/>
      <c r="B10" s="1">
        <v>3.6</v>
      </c>
      <c r="C10" s="1">
        <v>3.3</v>
      </c>
    </row>
    <row r="11" spans="1:3" x14ac:dyDescent="0.4">
      <c r="A11" s="1"/>
      <c r="B11" s="1">
        <v>3.8</v>
      </c>
      <c r="C11" s="1">
        <v>3.4</v>
      </c>
    </row>
    <row r="12" spans="1:3" x14ac:dyDescent="0.4">
      <c r="A12" s="1"/>
      <c r="B12" s="1">
        <v>4</v>
      </c>
      <c r="C12" s="1">
        <v>3.5</v>
      </c>
    </row>
    <row r="13" spans="1:3" x14ac:dyDescent="0.4">
      <c r="A13" s="1"/>
      <c r="B13" s="1">
        <v>4.3</v>
      </c>
      <c r="C13" s="1">
        <v>3.6</v>
      </c>
    </row>
    <row r="14" spans="1:3" x14ac:dyDescent="0.4">
      <c r="A14" s="1"/>
      <c r="B14" s="1">
        <v>4.5</v>
      </c>
      <c r="C14" s="1">
        <v>3.7</v>
      </c>
    </row>
    <row r="15" spans="1:3" x14ac:dyDescent="0.4">
      <c r="A15" s="1"/>
      <c r="B15" s="1">
        <v>4.7</v>
      </c>
      <c r="C15" s="1">
        <v>3.8</v>
      </c>
    </row>
    <row r="16" spans="1:3" x14ac:dyDescent="0.4">
      <c r="A16" s="1"/>
      <c r="B16" s="1">
        <v>5</v>
      </c>
      <c r="C16" s="1">
        <v>3.9</v>
      </c>
    </row>
    <row r="17" spans="1:3" x14ac:dyDescent="0.4">
      <c r="A17" s="1"/>
      <c r="B17" s="1">
        <v>5.2</v>
      </c>
      <c r="C17" s="1">
        <v>4</v>
      </c>
    </row>
    <row r="18" spans="1:3" x14ac:dyDescent="0.4">
      <c r="A18" s="1"/>
      <c r="B18" s="1">
        <v>5.5</v>
      </c>
      <c r="C18" s="1">
        <v>4.0999999999999996</v>
      </c>
    </row>
    <row r="19" spans="1:3" x14ac:dyDescent="0.4">
      <c r="A19" s="1"/>
      <c r="B19" s="1">
        <v>5.8</v>
      </c>
      <c r="C19" s="1">
        <v>4.2</v>
      </c>
    </row>
    <row r="20" spans="1:3" x14ac:dyDescent="0.4">
      <c r="A20" s="1"/>
      <c r="B20" s="1">
        <v>6.1</v>
      </c>
      <c r="C20" s="1">
        <v>4.3</v>
      </c>
    </row>
    <row r="21" spans="1:3" x14ac:dyDescent="0.4">
      <c r="A21" s="1"/>
      <c r="B21" s="1">
        <v>6.3</v>
      </c>
      <c r="C21" s="1">
        <v>4.4000000000000004</v>
      </c>
    </row>
    <row r="22" spans="1:3" x14ac:dyDescent="0.4">
      <c r="A22" s="1"/>
      <c r="B22" s="1">
        <v>6.6</v>
      </c>
      <c r="C22" s="1">
        <v>4.5</v>
      </c>
    </row>
    <row r="23" spans="1:3" x14ac:dyDescent="0.4">
      <c r="A23" s="1"/>
      <c r="B23" s="1">
        <v>6.9</v>
      </c>
      <c r="C23" s="1">
        <v>4.5999999999999996</v>
      </c>
    </row>
    <row r="24" spans="1:3" x14ac:dyDescent="0.4">
      <c r="A24" s="1"/>
      <c r="B24" s="1">
        <v>7.2</v>
      </c>
      <c r="C24" s="1">
        <v>4.7</v>
      </c>
    </row>
    <row r="25" spans="1:3" x14ac:dyDescent="0.4">
      <c r="A25" s="1"/>
      <c r="B25" s="1">
        <v>7.5</v>
      </c>
      <c r="C25" s="1">
        <v>4.8</v>
      </c>
    </row>
    <row r="26" spans="1:3" x14ac:dyDescent="0.4">
      <c r="A26" s="1"/>
      <c r="B26" s="1">
        <v>7.9</v>
      </c>
      <c r="C26" s="1">
        <v>4.9000000000000004</v>
      </c>
    </row>
    <row r="27" spans="1:3" x14ac:dyDescent="0.4">
      <c r="A27" s="1"/>
      <c r="B27" s="1">
        <v>8.1999999999999993</v>
      </c>
      <c r="C27" s="1">
        <v>5</v>
      </c>
    </row>
    <row r="28" spans="1:3" x14ac:dyDescent="0.4">
      <c r="A28" s="1"/>
      <c r="B28" s="1">
        <v>8.5</v>
      </c>
      <c r="C28" s="1">
        <v>5.0999999999999996</v>
      </c>
    </row>
    <row r="29" spans="1:3" x14ac:dyDescent="0.4">
      <c r="A29" s="1"/>
      <c r="B29" s="1">
        <v>8.8000000000000007</v>
      </c>
      <c r="C29" s="1">
        <v>5.2</v>
      </c>
    </row>
    <row r="30" spans="1:3" x14ac:dyDescent="0.4">
      <c r="A30" s="1"/>
      <c r="B30" s="1">
        <v>9.1999999999999993</v>
      </c>
      <c r="C30" s="1">
        <v>5.3</v>
      </c>
    </row>
    <row r="31" spans="1:3" x14ac:dyDescent="0.4">
      <c r="A31" s="1"/>
      <c r="B31" s="1">
        <v>9.5</v>
      </c>
      <c r="C31" s="1">
        <v>5.4</v>
      </c>
    </row>
    <row r="32" spans="1:3" x14ac:dyDescent="0.4">
      <c r="A32" s="1"/>
      <c r="B32" s="1">
        <v>9.9</v>
      </c>
      <c r="C32" s="1">
        <v>5.5</v>
      </c>
    </row>
    <row r="33" spans="1:3" x14ac:dyDescent="0.4">
      <c r="A33" s="1"/>
      <c r="B33" s="1">
        <v>10.3</v>
      </c>
      <c r="C33" s="1">
        <v>5.6</v>
      </c>
    </row>
    <row r="34" spans="1:3" x14ac:dyDescent="0.4">
      <c r="A34" s="1"/>
      <c r="B34" s="1">
        <v>10.6</v>
      </c>
      <c r="C34" s="1">
        <v>5.7</v>
      </c>
    </row>
    <row r="35" spans="1:3" x14ac:dyDescent="0.4">
      <c r="A35" s="1"/>
      <c r="B35" s="1">
        <v>11</v>
      </c>
      <c r="C35" s="1">
        <v>5.8</v>
      </c>
    </row>
    <row r="36" spans="1:3" x14ac:dyDescent="0.4">
      <c r="A36" s="1"/>
      <c r="B36" s="1">
        <v>11.4</v>
      </c>
      <c r="C36" s="1">
        <v>5.9</v>
      </c>
    </row>
    <row r="37" spans="1:3" x14ac:dyDescent="0.4">
      <c r="A37" s="1"/>
      <c r="B37" s="1">
        <v>11.8</v>
      </c>
      <c r="C37" s="1">
        <v>6</v>
      </c>
    </row>
    <row r="38" spans="1:3" x14ac:dyDescent="0.4">
      <c r="A38" s="1"/>
      <c r="B38" s="1">
        <v>12.2</v>
      </c>
      <c r="C38" s="1">
        <v>6.1</v>
      </c>
    </row>
    <row r="39" spans="1:3" x14ac:dyDescent="0.4">
      <c r="A39" s="1"/>
      <c r="B39" s="1">
        <v>12.6</v>
      </c>
      <c r="C39" s="1">
        <v>6.2</v>
      </c>
    </row>
    <row r="40" spans="1:3" x14ac:dyDescent="0.4">
      <c r="A40" s="1"/>
      <c r="B40" s="1">
        <v>13</v>
      </c>
      <c r="C40" s="1">
        <v>6.3</v>
      </c>
    </row>
    <row r="41" spans="1:3" x14ac:dyDescent="0.4">
      <c r="A41" s="1"/>
      <c r="B41" s="1">
        <v>13.4</v>
      </c>
      <c r="C41" s="1">
        <v>6.4</v>
      </c>
    </row>
    <row r="42" spans="1:3" x14ac:dyDescent="0.4">
      <c r="A42" s="1"/>
      <c r="B42" s="1">
        <v>13.8</v>
      </c>
      <c r="C42" s="1">
        <v>6.5</v>
      </c>
    </row>
    <row r="43" spans="1:3" x14ac:dyDescent="0.4">
      <c r="A43" s="1"/>
      <c r="B43" s="1">
        <v>14.2</v>
      </c>
      <c r="C43" s="1">
        <v>6.6</v>
      </c>
    </row>
    <row r="44" spans="1:3" x14ac:dyDescent="0.4">
      <c r="A44" s="1"/>
      <c r="B44" s="1">
        <v>14.7</v>
      </c>
      <c r="C44" s="1">
        <v>6.7</v>
      </c>
    </row>
    <row r="45" spans="1:3" x14ac:dyDescent="0.4">
      <c r="A45" s="1"/>
      <c r="B45" s="1">
        <v>15.1</v>
      </c>
      <c r="C45" s="1">
        <v>6.8</v>
      </c>
    </row>
    <row r="46" spans="1:3" x14ac:dyDescent="0.4">
      <c r="A46" s="1"/>
      <c r="B46" s="1">
        <v>15.5</v>
      </c>
      <c r="C46" s="1">
        <v>6.9</v>
      </c>
    </row>
    <row r="47" spans="1:3" x14ac:dyDescent="0.4">
      <c r="A47" s="1"/>
      <c r="B47" s="1">
        <v>16</v>
      </c>
      <c r="C47" s="1">
        <v>7</v>
      </c>
    </row>
    <row r="48" spans="1:3" x14ac:dyDescent="0.4">
      <c r="A48" s="1"/>
      <c r="B48" s="1">
        <v>16.5</v>
      </c>
      <c r="C48" s="1">
        <v>7.1</v>
      </c>
    </row>
    <row r="49" spans="1:3" x14ac:dyDescent="0.4">
      <c r="A49" s="1"/>
      <c r="B49" s="1">
        <v>16.899999999999999</v>
      </c>
      <c r="C49" s="1">
        <v>7.2</v>
      </c>
    </row>
    <row r="50" spans="1:3" x14ac:dyDescent="0.4">
      <c r="A50" s="1"/>
      <c r="B50" s="1">
        <v>17.399999999999999</v>
      </c>
      <c r="C50" s="1">
        <v>7.3</v>
      </c>
    </row>
    <row r="51" spans="1:3" x14ac:dyDescent="0.4">
      <c r="A51" s="1"/>
      <c r="B51" s="1">
        <v>17.899999999999999</v>
      </c>
      <c r="C51" s="1">
        <v>7.4</v>
      </c>
    </row>
    <row r="52" spans="1:3" x14ac:dyDescent="0.4">
      <c r="A52" s="1"/>
      <c r="B52" s="1">
        <v>18.399999999999999</v>
      </c>
      <c r="C52" s="1">
        <v>7.5</v>
      </c>
    </row>
    <row r="53" spans="1:3" x14ac:dyDescent="0.4">
      <c r="A53" s="1"/>
      <c r="B53" s="1">
        <v>18.8</v>
      </c>
      <c r="C53" s="1">
        <v>7.6</v>
      </c>
    </row>
    <row r="54" spans="1:3" x14ac:dyDescent="0.4">
      <c r="A54" s="1"/>
      <c r="B54" s="1">
        <v>19.3</v>
      </c>
      <c r="C54" s="1">
        <v>7.7</v>
      </c>
    </row>
    <row r="55" spans="1:3" x14ac:dyDescent="0.4">
      <c r="A55" s="1"/>
      <c r="B55" s="1">
        <v>19.8</v>
      </c>
      <c r="C55" s="1">
        <v>7.8</v>
      </c>
    </row>
    <row r="56" spans="1:3" x14ac:dyDescent="0.4">
      <c r="A56" s="1"/>
      <c r="B56" s="1">
        <v>20.399999999999999</v>
      </c>
      <c r="C56" s="1">
        <v>7.9</v>
      </c>
    </row>
    <row r="57" spans="1:3" x14ac:dyDescent="0.4">
      <c r="A57" s="1"/>
      <c r="B57" s="1">
        <v>20.9</v>
      </c>
      <c r="C57" s="1">
        <v>8</v>
      </c>
    </row>
    <row r="58" spans="1:3" x14ac:dyDescent="0.4">
      <c r="A58" s="1"/>
      <c r="B58" s="1">
        <v>21.4</v>
      </c>
      <c r="C58" s="1">
        <v>8.1</v>
      </c>
    </row>
  </sheetData>
  <phoneticPr fontId="2"/>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F23EF-4AC6-4FB6-BC90-002AA7B18125}">
  <dimension ref="A1:AG30"/>
  <sheetViews>
    <sheetView topLeftCell="P1" workbookViewId="0"/>
  </sheetViews>
  <sheetFormatPr defaultRowHeight="18.75" x14ac:dyDescent="0.4"/>
  <sheetData>
    <row r="1" spans="1:33" ht="19.5" thickBot="1" x14ac:dyDescent="0.45">
      <c r="A1" s="9"/>
      <c r="B1" s="9"/>
      <c r="C1" s="9"/>
      <c r="D1" s="9"/>
      <c r="E1" s="9"/>
      <c r="F1" s="9"/>
      <c r="G1" s="9"/>
      <c r="H1" s="9"/>
      <c r="I1" s="9"/>
      <c r="J1" s="9"/>
      <c r="K1" s="9"/>
      <c r="L1" s="9"/>
      <c r="M1" s="9"/>
      <c r="N1" s="9"/>
      <c r="O1" s="9"/>
      <c r="P1" s="9"/>
      <c r="Q1" s="1"/>
      <c r="R1" s="1"/>
      <c r="S1" s="1"/>
      <c r="T1" s="1"/>
      <c r="U1" s="1"/>
      <c r="V1" s="1"/>
      <c r="W1" s="1"/>
      <c r="X1" s="1"/>
      <c r="Y1" s="1"/>
      <c r="Z1" s="1"/>
      <c r="AA1" s="1"/>
      <c r="AB1" s="1"/>
      <c r="AC1" s="1"/>
      <c r="AD1" s="1"/>
      <c r="AE1" s="1"/>
      <c r="AF1" s="1"/>
      <c r="AG1" s="1"/>
    </row>
    <row r="2" spans="1:33" x14ac:dyDescent="0.4">
      <c r="A2" s="9"/>
      <c r="B2" s="67"/>
      <c r="C2" s="39" t="s">
        <v>124</v>
      </c>
      <c r="D2" s="39" t="s">
        <v>125</v>
      </c>
      <c r="E2" s="39" t="s">
        <v>126</v>
      </c>
      <c r="F2" s="39" t="s">
        <v>127</v>
      </c>
      <c r="G2" s="39" t="s">
        <v>15</v>
      </c>
      <c r="H2" s="39" t="s">
        <v>128</v>
      </c>
      <c r="I2" s="39" t="s">
        <v>129</v>
      </c>
      <c r="J2" s="39" t="s">
        <v>130</v>
      </c>
      <c r="K2" s="39" t="s">
        <v>131</v>
      </c>
      <c r="L2" s="39" t="s">
        <v>132</v>
      </c>
      <c r="M2" s="39" t="s">
        <v>133</v>
      </c>
      <c r="N2" s="39" t="s">
        <v>134</v>
      </c>
      <c r="O2" s="39" t="s">
        <v>11</v>
      </c>
      <c r="P2" s="40" t="s">
        <v>135</v>
      </c>
      <c r="Q2" s="1"/>
      <c r="R2" s="1"/>
      <c r="S2" s="1"/>
      <c r="T2" s="1"/>
      <c r="U2" s="1"/>
      <c r="V2" s="1"/>
      <c r="W2" s="1"/>
      <c r="X2" s="1"/>
      <c r="Y2" s="1"/>
      <c r="Z2" s="1"/>
      <c r="AA2" s="1"/>
      <c r="AB2" s="1"/>
      <c r="AC2" s="1"/>
      <c r="AD2" s="1"/>
      <c r="AE2" s="1"/>
      <c r="AF2" s="1"/>
      <c r="AG2" s="1"/>
    </row>
    <row r="3" spans="1:33" x14ac:dyDescent="0.4">
      <c r="A3" s="9"/>
      <c r="B3" s="68"/>
      <c r="C3" s="9">
        <v>177</v>
      </c>
      <c r="D3" s="9">
        <v>141.6</v>
      </c>
      <c r="E3" s="9">
        <v>113.28</v>
      </c>
      <c r="F3" s="9">
        <v>55.46</v>
      </c>
      <c r="G3" s="9">
        <v>26.55</v>
      </c>
      <c r="H3" s="9">
        <v>2.95</v>
      </c>
      <c r="I3" s="9">
        <v>32.450000000000003</v>
      </c>
      <c r="J3" s="9">
        <v>61.95</v>
      </c>
      <c r="K3" s="9">
        <v>97.35</v>
      </c>
      <c r="L3" s="9">
        <v>120.95</v>
      </c>
      <c r="M3" s="9">
        <v>151.04</v>
      </c>
      <c r="N3" s="9">
        <v>182.31</v>
      </c>
      <c r="O3" s="9">
        <v>213.58</v>
      </c>
      <c r="P3" s="6"/>
      <c r="Q3" s="9" t="s">
        <v>136</v>
      </c>
      <c r="R3" s="1" t="b">
        <f>IF(午前観測!$N$26="A",
  IF(午前観測!$G$27&lt;$B$18,(C18)*-1,
   IF(午前観測!$G$27&lt;$B$19,(C19)*-1,
    IF(午前観測!$G$27&lt;$B$20,(C20)*-1,
     IF(午前観測!$G$27&lt;$B$21,(C21)*-1,
      IF(午前観測!$G$27&lt;$B$22,(C22)*-1,
       IF(午前観測!$G$27&lt;$B$23,(C23)*-1,
        IF(午前観測!$G$27&lt;$B$24,(C24)*-1,
         IF(午前観測!$G$27&lt;$B$25,(C25)*-1,
          IF(午前観測!$G$27&lt;$B$26,(C26)*-1,
           IF(午前観測!$G$27&lt;$B$27,(C27)*-1,
            IF(午前観測!$G$27&lt;$B$28,(C28)*-1,
             IF(午前観測!$G$27&lt;$B$29,(C29)*-1,
              IF(午前観測!$G$27&lt;$B$30,(C30)*-1,
               IF(午前観測!$G$27&lt;$B$31,(C31)*-1,
                IF(午前観測!$G$27&lt;$B$32,(C32)*-1,
                 IF(午前観測!$G$27&lt;$B$33,(C33)*-1,
                  IF(午前観測!$G$27&lt;$B$34,(C34)*-1,
                   IF(午前観測!$G$27&lt;$B$35,(C35)*-1,
                    IF(午前観測!$G$27&lt;$B$36,(C36)*-1,
                     IF(午前観測!$G$27&lt;$B$37,(C37)*-1,
                      IF(午前観測!$G$27&lt;$B$38,(C38)*-1,
                       IF(午前観測!$G$27&lt;$B$39,(C39)*-1,
                        IF(午前観測!$G$27&lt;$B$40,(C40)*-1,
                         IF(午前観測!$G$27&lt;$B$41,(C41)*-1,
                          IF(午前観測!$G$27&lt;$B$42,(C42)*-1,
                           IF(午前観測!$G$27&lt;$B$43,(C43)*-1,0
   )))))))))))))))))))))))))))</f>
        <v>0</v>
      </c>
      <c r="S3" s="1" t="b">
        <f>IF(午前観測!$N$26="B",
  IF(午前観測!$G$27&lt;$B$18,(D18)*-1,
   IF(午前観測!$G$27&lt;$B$19,(D19)*-1,
    IF(午前観測!$G$27&lt;$B$20,(D20)*-1,
     IF(午前観測!$G$27&lt;$B$21,(D21)*-1,
      IF(午前観測!$G$27&lt;$B$22,(D22)*-1,
       IF(午前観測!$G$27&lt;$B$23,(D23)*-1,
        IF(午前観測!$G$27&lt;$B$24,(D24)*-1,
         IF(午前観測!$G$27&lt;$B$25,(D25)*-1,
          IF(午前観測!$G$27&lt;$B$26,(D26)*-1,
           IF(午前観測!$G$27&lt;$B$27,(D27)*-1,
            IF(午前観測!$G$27&lt;$B$28,(D28)*-1,
             IF(午前観測!$G$27&lt;$B$29,(D29)*-1,
              IF(午前観測!$G$27&lt;$B$30,(D30)*-1,
               IF(午前観測!$G$27&lt;$B$31,(D31)*-1,
                IF(午前観測!$G$27&lt;$B$32,(D32)*-1,
                 IF(午前観測!$G$27&lt;$B$33,(D33)*-1,
                  IF(午前観測!$G$27&lt;$B$34,(D34)*-1,
                   IF(午前観測!$G$27&lt;$B$35,(D35)*-1,
                    IF(午前観測!$G$27&lt;$B$36,(D36)*-1,
                     IF(午前観測!$G$27&lt;$B$37,(D37)*-1,
                      IF(午前観測!$G$27&lt;$B$38,(D38)*-1,
                       IF(午前観測!$G$27&lt;$B$39,(D39)*-1,
                        IF(午前観測!$G$27&lt;$B$40,(D40)*-1,
                         IF(午前観測!$G$27&lt;$B$41,(D41)*-1,
                          IF(午前観測!$G$27&lt;$B$42,(D42)*-1,
                           IF(午前観測!$G$27&lt;$B$43,(D43)*-1,0
   )))))))))))))))))))))))))))</f>
        <v>0</v>
      </c>
      <c r="T3" s="1" t="b">
        <f>IF(午前観測!$N$26="C",
  IF(午前観測!$G$27&lt;$B$18,(E18)*-1,
   IF(午前観測!$G$27&lt;$B$19,(E19)*-1,
    IF(午前観測!$G$27&lt;$B$20,(E20)*-1,
     IF(午前観測!$G$27&lt;$B$21,(E21)*-1,
      IF(午前観測!$G$27&lt;$B$22,(E22)*-1,
       IF(午前観測!$G$27&lt;$B$23,(E23)*-1,
        IF(午前観測!$G$27&lt;$B$24,(E24)*-1,
         IF(午前観測!$G$27&lt;$B$25,(E25)*-1,
          IF(午前観測!$G$27&lt;$B$26,(E26)*-1,
           IF(午前観測!$G$27&lt;$B$27,(E27)*-1,
            IF(午前観測!$G$27&lt;$B$28,(E28)*-1,
             IF(午前観測!$G$27&lt;$B$29,(E29)*-1,
              IF(午前観測!$G$27&lt;$B$30,(E30)*-1,
               IF(午前観測!$G$27&lt;$B$31,(E31)*-1,
                IF(午前観測!$G$27&lt;$B$32,(E32)*-1,
                 IF(午前観測!$G$27&lt;$B$33,(E33)*-1,
                  IF(午前観測!$G$27&lt;$B$34,(E34)*-1,
                   IF(午前観測!$G$27&lt;$B$35,(E35)*-1,
                    IF(午前観測!$G$27&lt;$B$36,(E36)*-1,
                     IF(午前観測!$G$27&lt;$B$37,(E37)*-1,
                      IF(午前観測!$G$27&lt;$B$38,(E38)*-1,
                       IF(午前観測!$G$27&lt;$B$39,(E39)*-1,
                        IF(午前観測!$G$27&lt;$B$40,(E40)*-1,
                         IF(午前観測!$G$27&lt;$B$41,(E41)*-1,
                          IF(午前観測!$G$27&lt;$B$42,(E42)*-1,
                           IF(午前観測!$G$27&lt;$B$43,(E43)*-1,0
   )))))))))))))))))))))))))))</f>
        <v>0</v>
      </c>
      <c r="U3" s="1" t="b">
        <f>IF(午前観測!$N$26="D",
  IF(午前観測!$G$27&lt;$B$18,(F18)*-1,
   IF(午前観測!$G$27&lt;$B$19,(F19)*-1,
    IF(午前観測!$G$27&lt;$B$20,(F20)*-1,
     IF(午前観測!$G$27&lt;$B$21,(F21)*-1,
      IF(午前観測!$G$27&lt;$B$22,(F22)*-1,
       IF(午前観測!$G$27&lt;$B$23,(F23)*-1,
        IF(午前観測!$G$27&lt;$B$24,(F24)*-1,
         IF(午前観測!$G$27&lt;$B$25,(F25)*-1,
          IF(午前観測!$G$27&lt;$B$26,(F26)*-1,
           IF(午前観測!$G$27&lt;$B$27,(F27)*-1,
            IF(午前観測!$G$27&lt;$B$28,(F28)*-1,
             IF(午前観測!$G$27&lt;$B$29,(F29)*-1,
              IF(午前観測!$G$27&lt;$B$30,(F30)*-1,
               IF(午前観測!$G$27&lt;$B$31,(F31)*-1,
                IF(午前観測!$G$27&lt;$B$32,(F32)*-1,
                 IF(午前観測!$G$27&lt;$B$33,(F33)*-1,
                  IF(午前観測!$G$27&lt;$B$34,(F34)*-1,
                   IF(午前観測!$G$27&lt;$B$35,(F35)*-1,
                    IF(午前観測!$G$27&lt;$B$36,(F36)*-1,
                     IF(午前観測!$G$27&lt;$B$37,(F37)*-1,
                      IF(午前観測!$G$27&lt;$B$38,(F38)*-1,
                       IF(午前観測!$G$27&lt;$B$39,(F39)*-1,
                        IF(午前観測!$G$27&lt;$B$40,(F40)*-1,
                         IF(午前観測!$G$27&lt;$B$41,(F41)*-1,
                          IF(午前観測!$G$27&lt;$B$42,(F42)*-1,
                           IF(午前観測!$G$27&lt;$B$43,(F43)*-1,0
   )))))))))))))))))))))))))))</f>
        <v>0</v>
      </c>
      <c r="V3" s="1" t="b">
        <f>IF(午前観測!$N$26="E",
  IF(午前観測!$G$27&lt;$B$18,(G18)*-1,
   IF(午前観測!$G$27&lt;$B$19,(G19)*-1,
    IF(午前観測!$G$27&lt;$B$20,(G20)*-1,
     IF(午前観測!$G$27&lt;$B$21,(G21)*-1,
      IF(午前観測!$G$27&lt;$B$22,(G22)*-1,
       IF(午前観測!$G$27&lt;$B$23,(G23)*-1,
        IF(午前観測!$G$27&lt;$B$24,(G24)*-1,
         IF(午前観測!$G$27&lt;$B$25,(G25)*-1,
          IF(午前観測!$G$27&lt;$B$26,(G26)*-1,
           IF(午前観測!$G$27&lt;$B$27,(G27)*-1,
            IF(午前観測!$G$27&lt;$B$28,(G28)*-1,
             IF(午前観測!$G$27&lt;$B$29,(G29)*-1,
              IF(午前観測!$G$27&lt;$B$30,(G30)*-1,
               IF(午前観測!$G$27&lt;$B$31,(G31)*-1,
                IF(午前観測!$G$27&lt;$B$32,(G32)*-1,
                 IF(午前観測!$G$27&lt;$B$33,(G33)*-1,
                  IF(午前観測!$G$27&lt;$B$34,(G34)*-1,
                   IF(午前観測!$G$27&lt;$B$35,(G35)*-1,
                    IF(午前観測!$G$27&lt;$B$36,(G36)*-1,
                     IF(午前観測!$G$27&lt;$B$37,(G37)*-1,
                      IF(午前観測!$G$27&lt;$B$38,(G38)*-1,
                       IF(午前観測!$G$27&lt;$B$39,(G39)*-1,
                        IF(午前観測!$G$27&lt;$B$40,(G40)*-1,
                         IF(午前観測!$G$27&lt;$B$41,(G41)*-1,
                          IF(午前観測!$G$27&lt;$B$42,(G42)*-1,
                           IF(午前観測!$G$27&lt;$B$43,(G43)*-1,0
   )))))))))))))))))))))))))))</f>
        <v>0</v>
      </c>
      <c r="W3" s="1" t="b">
        <f>IF(午前観測!$N$26="F",
  IF(午前観測!$G$27&lt;$B$18,(H18)*-1,
   IF(午前観測!$G$27&lt;$B$19,(H19)*-1,
    IF(午前観測!$G$27&lt;$B$20,(H20)*-1,
     IF(午前観測!$G$27&lt;$B$21,(H21)*-1,
      IF(午前観測!$G$27&lt;$B$22,(H22)*-1,
       IF(午前観測!$G$27&lt;$B$23,(H23)*-1,
        IF(午前観測!$G$27&lt;$B$24,(H24)*-1,
         IF(午前観測!$G$27&lt;$B$25,(H25)*-1,
          IF(午前観測!$G$27&lt;$B$26,(H26)*-1,
           IF(午前観測!$G$27&lt;$B$27,(H27)*-1,
            IF(午前観測!$G$27&lt;$B$28,(H28)*-1,
             IF(午前観測!$G$27&lt;$B$29,(H29)*-1,
              IF(午前観測!$G$27&lt;$B$30,(H30)*-1,
               IF(午前観測!$G$27&lt;$B$31,(H31)*-1,
                IF(午前観測!$G$27&lt;$B$32,(H32)*-1,
                 IF(午前観測!$G$27&lt;$B$33,(H33)*-1,
                  IF(午前観測!$G$27&lt;$B$34,(H34)*-1,
                   IF(午前観測!$G$27&lt;$B$35,(H35)*-1,
                    IF(午前観測!$G$27&lt;$B$36,(H36)*-1,
                     IF(午前観測!$G$27&lt;$B$37,(H37)*-1,
                      IF(午前観測!$G$27&lt;$B$38,(H38)*-1,
                       IF(午前観測!$G$27&lt;$B$39,(H39)*-1,
                        IF(午前観測!$G$27&lt;$B$40,(H40)*-1,
                         IF(午前観測!$G$27&lt;$B$41,(H41)*-1,
                          IF(午前観測!$G$27&lt;$B$42,(H42)*-1,
                           IF(午前観測!$G$27&lt;$B$43,(H43)*-1,0
   )))))))))))))))))))))))))))</f>
        <v>0</v>
      </c>
      <c r="X3" s="1" t="b">
        <f>IF(午前観測!$N$26="G",
  IF(午前観測!$G$27&lt;$B$18,(I18)*-1,
   IF(午前観測!$G$27&lt;$B$19,(I19)*-1,
    IF(午前観測!$G$27&lt;$B$20,(I20)*-1,
     IF(午前観測!$G$27&lt;$B$21,(I21)*-1,
      IF(午前観測!$G$27&lt;$B$22,(I22)*-1,
       IF(午前観測!$G$27&lt;$B$23,(I23)*-1,
        IF(午前観測!$G$27&lt;$B$24,(I24)*-1,
         IF(午前観測!$G$27&lt;$B$25,(I25)*-1,
          IF(午前観測!$G$27&lt;$B$26,(I26)*-1,
           IF(午前観測!$G$27&lt;$B$27,(I27)*-1,
            IF(午前観測!$G$27&lt;$B$28,(I28)*-1,
             IF(午前観測!$G$27&lt;$B$29,(I29)*-1,
              IF(午前観測!$G$27&lt;$B$30,(I30)*-1,
               IF(午前観測!$G$27&lt;$B$31,(I31)*-1,
                IF(午前観測!$G$27&lt;$B$32,(I32)*-1,
                 IF(午前観測!$G$27&lt;$B$33,(I33)*-1,
                  IF(午前観測!$G$27&lt;$B$34,(I34)*-1,
                   IF(午前観測!$G$27&lt;$B$35,(I35)*-1,
                    IF(午前観測!$G$27&lt;$B$36,(I36)*-1,
                     IF(午前観測!$G$27&lt;$B$37,(I37)*-1,
                      IF(午前観測!$G$27&lt;$B$38,(I38)*-1,
                       IF(午前観測!$G$27&lt;$B$39,(I39)*-1,
                        IF(午前観測!$G$27&lt;$B$40,(I40)*-1,
                         IF(午前観測!$G$27&lt;$B$41,(I41)*-1,
                          IF(午前観測!$G$27&lt;$B$42,(I42)*-1,
                           IF(午前観測!$G$27&lt;$B$43,(I43)*-1,0
   )))))))))))))))))))))))))))</f>
        <v>0</v>
      </c>
      <c r="Y3" s="1" t="b">
        <f>IF(午前観測!$N$26="H",
  IF(午前観測!$G$27&lt;$B$18,(J18)*-1,
   IF(午前観測!$G$27&lt;$B$19,(J19)*-1,
    IF(午前観測!$G$27&lt;$B$20,(J20)*-1,
     IF(午前観測!$G$27&lt;$B$21,(J21)*-1,
      IF(午前観測!$G$27&lt;$B$22,(J22)*-1,
       IF(午前観測!$G$27&lt;$B$23,(J23)*-1,
        IF(午前観測!$G$27&lt;$B$24,(J24)*-1,
         IF(午前観測!$G$27&lt;$B$25,(J25)*-1,
          IF(午前観測!$G$27&lt;$B$26,(J26)*-1,
           IF(午前観測!$G$27&lt;$B$27,(J27)*-1,
            IF(午前観測!$G$27&lt;$B$28,(J28)*-1,
             IF(午前観測!$G$27&lt;$B$29,(J29)*-1,
              IF(午前観測!$G$27&lt;$B$30,(J30)*-1,
               IF(午前観測!$G$27&lt;$B$31,(J31)*-1,
                IF(午前観測!$G$27&lt;$B$32,(J32)*-1,
                 IF(午前観測!$G$27&lt;$B$33,(J33)*-1,
                  IF(午前観測!$G$27&lt;$B$34,(J34)*-1,
                   IF(午前観測!$G$27&lt;$B$35,(J35)*-1,
                    IF(午前観測!$G$27&lt;$B$36,(J36)*-1,
                     IF(午前観測!$G$27&lt;$B$37,(J37)*-1,
                      IF(午前観測!$G$27&lt;$B$38,(J38)*-1,
                       IF(午前観測!$G$27&lt;$B$39,(J39)*-1,
                        IF(午前観測!$G$27&lt;$B$40,(J40)*-1,
                         IF(午前観測!$G$27&lt;$B$41,(J41)*-1,
                          IF(午前観測!$G$27&lt;$B$42,(J42)*-1,
                           IF(午前観測!$G$27&lt;$B$43,(J43)*-1,0
   )))))))))))))))))))))))))))</f>
        <v>0</v>
      </c>
      <c r="Z3" s="1" t="b">
        <f>IF(午前観測!$N$26="J",
  IF(午前観測!$G$27&lt;$B$18,(K18)*-1,
   IF(午前観測!$G$27&lt;$B$19,(K19)*-1,
    IF(午前観測!$G$27&lt;$B$20,(K20)*-1,
     IF(午前観測!$G$27&lt;$B$21,(K21)*-1,
      IF(午前観測!$G$27&lt;$B$22,(K22)*-1,
       IF(午前観測!$G$27&lt;$B$23,(K23)*-1,
        IF(午前観測!$G$27&lt;$B$24,(K24)*-1,
         IF(午前観測!$G$27&lt;$B$25,(K25)*-1,
          IF(午前観測!$G$27&lt;$B$26,(K26)*-1,
           IF(午前観測!$G$27&lt;$B$27,(K27)*-1,
            IF(午前観測!$G$27&lt;$B$28,(K28)*-1,
             IF(午前観測!$G$27&lt;$B$29,(K29)*-1,
              IF(午前観測!$G$27&lt;$B$30,(K30)*-1,
               IF(午前観測!$G$27&lt;$B$31,(K31)*-1,
                IF(午前観測!$G$27&lt;$B$32,(K32)*-1,
                 IF(午前観測!$G$27&lt;$B$33,(K33)*-1,
                  IF(午前観測!$G$27&lt;$B$34,(K34)*-1,
                   IF(午前観測!$G$27&lt;$B$35,(K35)*-1,
                    IF(午前観測!$G$27&lt;$B$36,(K36)*-1,
                     IF(午前観測!$G$27&lt;$B$37,(K37)*-1,
                      IF(午前観測!$G$27&lt;$B$38,(K38)*-1,
                       IF(午前観測!$G$27&lt;$B$39,(K39)*-1,
                        IF(午前観測!$G$27&lt;$B$40,(K40)*-1,
                         IF(午前観測!$G$27&lt;$B$41,(K41)*-1,
                          IF(午前観測!$G$27&lt;$B$42,(K42)*-1,
                           IF(午前観測!$G$27&lt;$B$43,(K43)*-1,0
   )))))))))))))))))))))))))))</f>
        <v>0</v>
      </c>
      <c r="AA3" s="1" t="b">
        <f>IF(午前観測!$N$26="K",
  IF(午前観測!$G$27&lt;$B$18,(L18)*-1,
   IF(午前観測!$G$27&lt;$B$19,(L19)*-1,
    IF(午前観測!$G$27&lt;$B$20,(L20)*-1,
     IF(午前観測!$G$27&lt;$B$21,(L21)*-1,
      IF(午前観測!$G$27&lt;$B$22,(L22)*-1,
       IF(午前観測!$G$27&lt;$B$23,(L23)*-1,
        IF(午前観測!$G$27&lt;$B$24,(L24)*-1,
         IF(午前観測!$G$27&lt;$B$25,(L25)*-1,
          IF(午前観測!$G$27&lt;$B$26,(L26)*-1,
           IF(午前観測!$G$27&lt;$B$27,(L27)*-1,
            IF(午前観測!$G$27&lt;$B$28,(L28)*-1,
             IF(午前観測!$G$27&lt;$B$29,(L29)*-1,
              IF(午前観測!$G$27&lt;$B$30,(L30)*-1,
               IF(午前観測!$G$27&lt;$B$31,(L31)*-1,
                IF(午前観測!$G$27&lt;$B$32,(L32)*-1,
                 IF(午前観測!$G$27&lt;$B$33,(L33)*-1,
                  IF(午前観測!$G$27&lt;$B$34,(L34)*-1,
                   IF(午前観測!$G$27&lt;$B$35,(L35)*-1,
                    IF(午前観測!$G$27&lt;$B$36,(L36)*-1,
                     IF(午前観測!$G$27&lt;$B$37,(L37)*-1,
                      IF(午前観測!$G$27&lt;$B$38,(L38)*-1,
                       IF(午前観測!$G$27&lt;$B$39,(L39)*-1,
                        IF(午前観測!$G$27&lt;$B$40,(L40)*-1,
                         IF(午前観測!$G$27&lt;$B$41,(L41)*-1,
                          IF(午前観測!$G$27&lt;$B$42,(L42)*-1,
                           IF(午前観測!$G$27&lt;$B$43,(L43)*-1,0
   )))))))))))))))))))))))))))</f>
        <v>0</v>
      </c>
      <c r="AB3" s="1">
        <f>IF(午前観測!$N$26="L",
  IF(午前観測!$G$27&lt;$B$18,(M18)*-1,
   IF(午前観測!$G$27&lt;$B$19,(M19)*-1,
    IF(午前観測!$G$27&lt;$B$20,(M20)*-1,
     IF(午前観測!$G$27&lt;$B$21,(M21)*-1,
      IF(午前観測!$G$27&lt;$B$22,(M22)*-1,
       IF(午前観測!$G$27&lt;$B$23,(M23)*-1,
        IF(午前観測!$G$27&lt;$B$24,(M24)*-1,
         IF(午前観測!$G$27&lt;$B$25,(M25)*-1,
          IF(午前観測!$G$27&lt;$B$26,(M26)*-1,
           IF(午前観測!$G$27&lt;$B$27,(M27)*-1,
            IF(午前観測!$G$27&lt;$B$28,(M28)*-1,
             IF(午前観測!$G$27&lt;$B$29,(M29)*-1,
              IF(午前観測!$G$27&lt;$B$30,(M30)*-1,
               IF(午前観測!$G$27&lt;$B$31,(M31)*-1,
                IF(午前観測!$G$27&lt;$B$32,(M32)*-1,
                 IF(午前観測!$G$27&lt;$B$33,(M33)*-1,
                  IF(午前観測!$G$27&lt;$B$34,(M34)*-1,
                   IF(午前観測!$G$27&lt;$B$35,(M35)*-1,
                    IF(午前観測!$G$27&lt;$B$36,(M36)*-1,
                     IF(午前観測!$G$27&lt;$B$37,(M37)*-1,
                      IF(午前観測!$G$27&lt;$B$38,(M38)*-1,
                       IF(午前観測!$G$27&lt;$B$39,(M39)*-1,
                        IF(午前観測!$G$27&lt;$B$40,(M40)*-1,
                         IF(午前観測!$G$27&lt;$B$41,(M41)*-1,
                          IF(午前観測!$G$27&lt;$B$42,(M42)*-1,
                           IF(午前観測!$G$27&lt;$B$43,(M43)*-1,0
   )))))))))))))))))))))))))))</f>
        <v>-0.1</v>
      </c>
      <c r="AC3" s="1" t="b">
        <f>IF(午前観測!$N$26="M",
  IF(午前観測!$G$27&lt;$B$18,(N18)*-1,
   IF(午前観測!$G$27&lt;$B$19,(N19)*-1,
    IF(午前観測!$G$27&lt;$B$20,(N20)*-1,
     IF(午前観測!$G$27&lt;$B$21,(N21)*-1,
      IF(午前観測!$G$27&lt;$B$22,(N22)*-1,
       IF(午前観測!$G$27&lt;$B$23,(N23)*-1,
        IF(午前観測!$G$27&lt;$B$24,(N24)*-1,
         IF(午前観測!$G$27&lt;$B$25,(N25)*-1,
          IF(午前観測!$G$27&lt;$B$26,(N26)*-1,
           IF(午前観測!$G$27&lt;$B$27,(N27)*-1,
            IF(午前観測!$G$27&lt;$B$28,(N28)*-1,
             IF(午前観測!$G$27&lt;$B$29,(N29)*-1,
              IF(午前観測!$G$27&lt;$B$30,(N30)*-1,
               IF(午前観測!$G$27&lt;$B$31,(N31)*-1,
                IF(午前観測!$G$27&lt;$B$32,(N32)*-1,
                 IF(午前観測!$G$27&lt;$B$33,(N33)*-1,
                  IF(午前観測!$G$27&lt;$B$34,(N34)*-1,
                   IF(午前観測!$G$27&lt;$B$35,(N35)*-1,
                    IF(午前観測!$G$27&lt;$B$36,(N36)*-1,
                     IF(午前観測!$G$27&lt;$B$37,(N37)*-1,
                      IF(午前観測!$G$27&lt;$B$38,(N38)*-1,
                       IF(午前観測!$G$27&lt;$B$39,(N39)*-1,
                        IF(午前観測!$G$27&lt;$B$40,(N40)*-1,
                         IF(午前観測!$G$27&lt;$B$41,(N41)*-1,
                          IF(午前観測!$G$27&lt;$B$42,(N42)*-1,
                           IF(午前観測!$G$27&lt;$B$43,(N43)*-1,0
   )))))))))))))))))))))))))))</f>
        <v>0</v>
      </c>
      <c r="AD3" s="1" t="b">
        <f>IF(午前観測!$N$26="N",
  IF(午前観測!$G$27&lt;$B$18,(O18)*-1,
   IF(午前観測!$G$27&lt;$B$19,(O19)*-1,
    IF(午前観測!$G$27&lt;$B$20,(O20)*-1,
     IF(午前観測!$G$27&lt;$B$21,(O21)*-1,
      IF(午前観測!$G$27&lt;$B$22,(O22)*-1,
       IF(午前観測!$G$27&lt;$B$23,(O23)*-1,
        IF(午前観測!$G$27&lt;$B$24,(O24)*-1,
         IF(午前観測!$G$27&lt;$B$25,(O25)*-1,
          IF(午前観測!$G$27&lt;$B$26,(O26)*-1,
           IF(午前観測!$G$27&lt;$B$27,(O27)*-1,
            IF(午前観測!$G$27&lt;$B$28,(O28)*-1,
             IF(午前観測!$G$27&lt;$B$29,(O29)*-1,
              IF(午前観測!$G$27&lt;$B$30,(O30)*-1,
               IF(午前観測!$G$27&lt;$B$31,(O31)*-1,
                IF(午前観測!$G$27&lt;$B$32,(O32)*-1,
                 IF(午前観測!$G$27&lt;$B$33,(O33)*-1,
                  IF(午前観測!$G$27&lt;$B$34,(O34)*-1,
                   IF(午前観測!$G$27&lt;$B$35,(O35)*-1,
                    IF(午前観測!$G$27&lt;$B$36,(O36)*-1,
                     IF(午前観測!$G$27&lt;$B$37,(O37)*-1,
                      IF(午前観測!$G$27&lt;$B$38,(O38)*-1,
                       IF(午前観測!$G$27&lt;$B$39,(O39)*-1,
                        IF(午前観測!$G$27&lt;$B$40,(O40)*-1,
                         IF(午前観測!$G$27&lt;$B$41,(O41)*-1,
                          IF(午前観測!$G$27&lt;$B$42,(O42)*-1,
                           IF(午前観測!$G$27&lt;$B$43,(O43)*-1,0
   )))))))))))))))))))))))))))</f>
        <v>0</v>
      </c>
      <c r="AE3" s="1" t="b">
        <f>IF(午前観測!$N$26="P",
  IF(午前観測!$G$27&lt;$B$18,(P18)*-1,
   IF(午前観測!$G$27&lt;$B$19,(P19)*-1,
    IF(午前観測!$G$27&lt;$B$20,(P20)*-1,
     IF(午前観測!$G$27&lt;$B$21,(P21)*-1,
      IF(午前観測!$G$27&lt;$B$22,(P22)*-1,
       IF(午前観測!$G$27&lt;$B$23,(P23)*-1,
        IF(午前観測!$G$27&lt;$B$24,(P24)*-1,
         IF(午前観測!$G$27&lt;$B$25,(P25)*-1,
          IF(午前観測!$G$27&lt;$B$26,(P26)*-1,
           IF(午前観測!$G$27&lt;$B$27,(P27)*-1,
            IF(午前観測!$G$27&lt;$B$28,(P28)*-1,
             IF(午前観測!$G$27&lt;$B$29,(P29)*-1,
              IF(午前観測!$G$27&lt;$B$30,(P30)*-1,
               IF(午前観測!$G$27&lt;$B$31,(P31)*-1,
                IF(午前観測!$G$27&lt;$B$32,(P32)*-1,
                 IF(午前観測!$G$27&lt;$B$33,(P33)*-1,
                  IF(午前観測!$G$27&lt;$B$34,(P34)*-1,
                   IF(午前観測!$G$27&lt;$B$35,(P35)*-1,
                    IF(午前観測!$G$27&lt;$B$36,(P36)*-1,
                     IF(午前観測!$G$27&lt;$B$37,(P37)*-1,
                      IF(午前観測!$G$27&lt;$B$38,(P38)*-1,
                       IF(午前観測!$G$27&lt;$B$39,(P39)*-1,
                        IF(午前観測!$G$27&lt;$B$40,(P40)*-1,
                         IF(午前観測!$G$27&lt;$B$41,(P41)*-1,
                          IF(午前観測!$G$27&lt;$B$42,(P42)*-1,
                           IF(午前観測!$G$27&lt;$B$43,(P43)*-1,0
   )))))))))))))))))))))))))))</f>
        <v>0</v>
      </c>
      <c r="AF3" s="1">
        <f>SUM(R3:AE3)</f>
        <v>-0.1</v>
      </c>
      <c r="AG3" s="1"/>
    </row>
    <row r="4" spans="1:33" x14ac:dyDescent="0.4">
      <c r="A4" s="9"/>
      <c r="B4" s="42">
        <v>0</v>
      </c>
      <c r="C4" s="38">
        <v>-7.3</v>
      </c>
      <c r="D4" s="38">
        <v>-5.9</v>
      </c>
      <c r="E4" s="38">
        <v>-4.5999999999999996</v>
      </c>
      <c r="F4" s="38">
        <v>-3.4</v>
      </c>
      <c r="G4" s="38">
        <v>-2.2000000000000002</v>
      </c>
      <c r="H4" s="38">
        <v>-1.1000000000000001</v>
      </c>
      <c r="I4" s="38">
        <v>0</v>
      </c>
      <c r="J4" s="38">
        <v>1</v>
      </c>
      <c r="K4" s="38">
        <v>2</v>
      </c>
      <c r="L4" s="38">
        <v>3</v>
      </c>
      <c r="M4" s="38">
        <v>4</v>
      </c>
      <c r="N4" s="38">
        <v>4.9000000000000004</v>
      </c>
      <c r="O4" s="38">
        <v>5.9</v>
      </c>
      <c r="P4" s="43">
        <v>6.9</v>
      </c>
      <c r="Q4" s="9" t="s">
        <v>137</v>
      </c>
      <c r="R4" s="1" t="b">
        <f>IF(正午観測!$N$29="A",
  IF(正午観測!$G$34&lt;$B$18,(C18)*-1,
   IF(正午観測!$G$34&lt;$B$19,(C19)*-1,
    IF(正午観測!$G$34&lt;$B$20,(C20)*-1,
     IF(正午観測!$G$34&lt;$B$21,(C21)*-1,
      IF(正午観測!$G$34&lt;$B$22,(C22)*-1,
       IF(正午観測!$G$34&lt;$B$23,(C23)*-1,
        IF(正午観測!$G$34&lt;$B$24,(C24)*-1,
         IF(正午観測!$G$34&lt;$B$25,(C25)*-1,
          IF(正午観測!$G$34&lt;$B$26,(C26)*-1,
           IF(正午観測!$G$34&lt;$B$27,(C27)*-1,
            IF(正午観測!$G$34&lt;$B$28,(C28)*-1,
             IF(正午観測!$G$34&lt;$B$29,(C29)*-1,
              IF(正午観測!$G$34&lt;$B$30,(C30)*-1,
               IF(正午観測!$G$34&lt;$B$31,(C31)*-1,
                IF(正午観測!$G$34&lt;$B$32,(C32)*-1,
                 IF(正午観測!$G$34&lt;$B$33,(C33)*-1,
                  IF(正午観測!$G$34&lt;$B$34,(C34)*-1,
                   IF(正午観測!$G$34&lt;$B$35,(C35)*-1,
                    IF(正午観測!$G$34&lt;$B$36,(C36)*-1,
                     IF(正午観測!$G$34&lt;$B$37,(C37)*-1,
                      IF(正午観測!$G$34&lt;$B$38,(C38)*-1,
                       IF(正午観測!$G$34&lt;$B$39,(C39)*-1,
                        IF(正午観測!$G$34&lt;$B$40,(C40)*-1,
                         IF(正午観測!$G$34&lt;$B$41,(C41)*-1,
                          IF(正午観測!$G$34&lt;$B$42,(C42)*-1,
                           IF(正午観測!$G$34&lt;$B$43,(C43)*-1,0
   )))))))))))))))))))))))))))</f>
        <v>0</v>
      </c>
      <c r="S4" s="1" t="b">
        <f>IF(正午観測!$N$29="B",
  IF(正午観測!$G$34&lt;$B$18,(D18)*-1,
   IF(正午観測!$G$34&lt;$B$19,(D19)*-1,
    IF(正午観測!$G$34&lt;$B$20,(D20)*-1,
     IF(正午観測!$G$34&lt;$B$21,(D21)*-1,
      IF(正午観測!$G$34&lt;$B$22,(D22)*-1,
       IF(正午観測!$G$34&lt;$B$23,(D23)*-1,
        IF(正午観測!$G$34&lt;$B$24,(D24)*-1,
         IF(正午観測!$G$34&lt;$B$25,(D25)*-1,
          IF(正午観測!$G$34&lt;$B$26,(D26)*-1,
           IF(正午観測!$G$34&lt;$B$27,(D27)*-1,
            IF(正午観測!$G$34&lt;$B$28,(D28)*-1,
             IF(正午観測!$G$34&lt;$B$29,(D29)*-1,
              IF(正午観測!$G$34&lt;$B$30,(D30)*-1,
               IF(正午観測!$G$34&lt;$B$31,(D31)*-1,
                IF(正午観測!$G$34&lt;$B$32,(D32)*-1,
                 IF(正午観測!$G$34&lt;$B$33,(D33)*-1,
                  IF(正午観測!$G$34&lt;$B$34,(D34)*-1,
                   IF(正午観測!$G$34&lt;$B$35,(D35)*-1,
                    IF(正午観測!$G$34&lt;$B$36,(D36)*-1,
                     IF(正午観測!$G$34&lt;$B$37,(D37)*-1,
                      IF(正午観測!$G$34&lt;$B$38,(D38)*-1,
                       IF(正午観測!$G$34&lt;$B$39,(D39)*-1,
                        IF(正午観測!$G$34&lt;$B$40,(D40)*-1,
                         IF(正午観測!$G$34&lt;$B$41,(D41)*-1,
                          IF(正午観測!$G$34&lt;$B$42,(D42)*-1,
                           IF(正午観測!$G$34&lt;$B$43,(D43)*-1,0
   )))))))))))))))))))))))))))</f>
        <v>0</v>
      </c>
      <c r="T4" s="1" t="b">
        <f>IF(正午観測!$N$29="C",
  IF(正午観測!$G$34&lt;$B$18,(E18)*-1,
   IF(正午観測!$G$34&lt;$B$19,(E19)*-1,
    IF(正午観測!$G$34&lt;$B$20,(E20)*-1,
     IF(正午観測!$G$34&lt;$B$21,(E21)*-1,
      IF(正午観測!$G$34&lt;$B$22,(E22)*-1,
       IF(正午観測!$G$34&lt;$B$23,(E23)*-1,
        IF(正午観測!$G$34&lt;$B$24,(E24)*-1,
         IF(正午観測!$G$34&lt;$B$25,(E25)*-1,
          IF(正午観測!$G$34&lt;$B$26,(E26)*-1,
           IF(正午観測!$G$34&lt;$B$27,(E27)*-1,
            IF(正午観測!$G$34&lt;$B$28,(E28)*-1,
             IF(正午観測!$G$34&lt;$B$29,(E29)*-1,
              IF(正午観測!$G$34&lt;$B$30,(E30)*-1,
               IF(正午観測!$G$34&lt;$B$31,(E31)*-1,
                IF(正午観測!$G$34&lt;$B$32,(E32)*-1,
                 IF(正午観測!$G$34&lt;$B$33,(E33)*-1,
                  IF(正午観測!$G$34&lt;$B$34,(E34)*-1,
                   IF(正午観測!$G$34&lt;$B$35,(E35)*-1,
                    IF(正午観測!$G$34&lt;$B$36,(E36)*-1,
                     IF(正午観測!$G$34&lt;$B$37,(E37)*-1,
                      IF(正午観測!$G$34&lt;$B$38,(E38)*-1,
                       IF(正午観測!$G$34&lt;$B$39,(E39)*-1,
                        IF(正午観測!$G$34&lt;$B$40,(E40)*-1,
                         IF(正午観測!$G$34&lt;$B$41,(E41)*-1,
                          IF(正午観測!$G$34&lt;$B$42,(E42)*-1,
                           IF(正午観測!$G$34&lt;$B$43,(E43)*-1,0
   )))))))))))))))))))))))))))</f>
        <v>0</v>
      </c>
      <c r="U4" s="1" t="b">
        <f>IF(正午観測!$N$29="D",
  IF(正午観測!$G$34&lt;$B$18,(F18)*-1,
   IF(正午観測!$G$34&lt;$B$19,(F19)*-1,
    IF(正午観測!$G$34&lt;$B$20,(F20)*-1,
     IF(正午観測!$G$34&lt;$B$21,(F21)*-1,
      IF(正午観測!$G$34&lt;$B$22,(F22)*-1,
       IF(正午観測!$G$34&lt;$B$23,(F23)*-1,
        IF(正午観測!$G$34&lt;$B$24,(F24)*-1,
         IF(正午観測!$G$34&lt;$B$25,(F25)*-1,
          IF(正午観測!$G$34&lt;$B$26,(F26)*-1,
           IF(正午観測!$G$34&lt;$B$27,(F27)*-1,
            IF(正午観測!$G$34&lt;$B$28,(F28)*-1,
             IF(正午観測!$G$34&lt;$B$29,(F29)*-1,
              IF(正午観測!$G$34&lt;$B$30,(F30)*-1,
               IF(正午観測!$G$34&lt;$B$31,(F31)*-1,
                IF(正午観測!$G$34&lt;$B$32,(F32)*-1,
                 IF(正午観測!$G$34&lt;$B$33,(F33)*-1,
                  IF(正午観測!$G$34&lt;$B$34,(F34)*-1,
                   IF(正午観測!$G$34&lt;$B$35,(F35)*-1,
                    IF(正午観測!$G$34&lt;$B$36,(F36)*-1,
                     IF(正午観測!$G$34&lt;$B$37,(F37)*-1,
                      IF(正午観測!$G$34&lt;$B$38,(F38)*-1,
                       IF(正午観測!$G$34&lt;$B$39,(F39)*-1,
                        IF(正午観測!$G$34&lt;$B$40,(F40)*-1,
                         IF(正午観測!$G$34&lt;$B$41,(F41)*-1,
                          IF(正午観測!$G$34&lt;$B$42,(F42)*-1,
                           IF(正午観測!$G$34&lt;$B$43,(F43)*-1,0
   )))))))))))))))))))))))))))</f>
        <v>0</v>
      </c>
      <c r="V4" s="1" t="b">
        <f>IF(正午観測!$N$29="E",
  IF(正午観測!$G$34&lt;$B$18,(G18)*-1,
   IF(正午観測!$G$34&lt;$B$19,(G19)*-1,
    IF(正午観測!$G$34&lt;$B$20,(G20)*-1,
     IF(正午観測!$G$34&lt;$B$21,(G21)*-1,
      IF(正午観測!$G$34&lt;$B$22,(G22)*-1,
       IF(正午観測!$G$34&lt;$B$23,(G23)*-1,
        IF(正午観測!$G$34&lt;$B$24,(G24)*-1,
         IF(正午観測!$G$34&lt;$B$25,(G25)*-1,
          IF(正午観測!$G$34&lt;$B$26,(G26)*-1,
           IF(正午観測!$G$34&lt;$B$27,(G27)*-1,
            IF(正午観測!$G$34&lt;$B$28,(G28)*-1,
             IF(正午観測!$G$34&lt;$B$29,(G29)*-1,
              IF(正午観測!$G$34&lt;$B$30,(G30)*-1,
               IF(正午観測!$G$34&lt;$B$31,(G31)*-1,
                IF(正午観測!$G$34&lt;$B$32,(G32)*-1,
                 IF(正午観測!$G$34&lt;$B$33,(G33)*-1,
                  IF(正午観測!$G$34&lt;$B$34,(G34)*-1,
                   IF(正午観測!$G$34&lt;$B$35,(G35)*-1,
                    IF(正午観測!$G$34&lt;$B$36,(G36)*-1,
                     IF(正午観測!$G$34&lt;$B$37,(G37)*-1,
                      IF(正午観測!$G$34&lt;$B$38,(G38)*-1,
                       IF(正午観測!$G$34&lt;$B$39,(G39)*-1,
                        IF(正午観測!$G$34&lt;$B$40,(G40)*-1,
                         IF(正午観測!$G$34&lt;$B$41,(G41)*-1,
                          IF(正午観測!$G$34&lt;$B$42,(G42)*-1,
                           IF(正午観測!$G$34&lt;$B$43,(G43)*-1,0
   )))))))))))))))))))))))))))</f>
        <v>0</v>
      </c>
      <c r="W4" s="1" t="b">
        <f>IF(正午観測!$N$29="F",
  IF(正午観測!$G$34&lt;$B$18,(H18)*-1,
   IF(正午観測!$G$34&lt;$B$19,(H19)*-1,
    IF(正午観測!$G$34&lt;$B$20,(H20)*-1,
     IF(正午観測!$G$34&lt;$B$21,(H21)*-1,
      IF(正午観測!$G$34&lt;$B$22,(H22)*-1,
       IF(正午観測!$G$34&lt;$B$23,(H23)*-1,
        IF(正午観測!$G$34&lt;$B$24,(H24)*-1,
         IF(正午観測!$G$34&lt;$B$25,(H25)*-1,
          IF(正午観測!$G$34&lt;$B$26,(H26)*-1,
           IF(正午観測!$G$34&lt;$B$27,(H27)*-1,
            IF(正午観測!$G$34&lt;$B$28,(H28)*-1,
             IF(正午観測!$G$34&lt;$B$29,(H29)*-1,
              IF(正午観測!$G$34&lt;$B$30,(H30)*-1,
               IF(正午観測!$G$34&lt;$B$31,(H31)*-1,
                IF(正午観測!$G$34&lt;$B$32,(H32)*-1,
                 IF(正午観測!$G$34&lt;$B$33,(H33)*-1,
                  IF(正午観測!$G$34&lt;$B$34,(H34)*-1,
                   IF(正午観測!$G$34&lt;$B$35,(H35)*-1,
                    IF(正午観測!$G$34&lt;$B$36,(H36)*-1,
                     IF(正午観測!$G$34&lt;$B$37,(H37)*-1,
                      IF(正午観測!$G$34&lt;$B$38,(H38)*-1,
                       IF(正午観測!$G$34&lt;$B$39,(H39)*-1,
                        IF(正午観測!$G$34&lt;$B$40,(H40)*-1,
                         IF(正午観測!$G$34&lt;$B$41,(H41)*-1,
                          IF(正午観測!$G$34&lt;$B$42,(H42)*-1,
                           IF(正午観測!$G$34&lt;$B$43,(H43)*-1,0
   )))))))))))))))))))))))))))</f>
        <v>0</v>
      </c>
      <c r="X4" s="1" t="b">
        <f>IF(正午観測!$N$29="G",
  IF(正午観測!$G$34&lt;$B$18,(I18)*-1,
   IF(正午観測!$G$34&lt;$B$19,(I19)*-1,
    IF(正午観測!$G$34&lt;$B$20,(I20)*-1,
     IF(正午観測!$G$34&lt;$B$21,(I21)*-1,
      IF(正午観測!$G$34&lt;$B$22,(I22)*-1,
       IF(正午観測!$G$34&lt;$B$23,(I23)*-1,
        IF(正午観測!$G$34&lt;$B$24,(I24)*-1,
         IF(正午観測!$G$34&lt;$B$25,(I25)*-1,
          IF(正午観測!$G$34&lt;$B$26,(I26)*-1,
           IF(正午観測!$G$34&lt;$B$27,(I27)*-1,
            IF(正午観測!$G$34&lt;$B$28,(I28)*-1,
             IF(正午観測!$G$34&lt;$B$29,(I29)*-1,
              IF(正午観測!$G$34&lt;$B$30,(I30)*-1,
               IF(正午観測!$G$34&lt;$B$31,(I31)*-1,
                IF(正午観測!$G$34&lt;$B$32,(I32)*-1,
                 IF(正午観測!$G$34&lt;$B$33,(I33)*-1,
                  IF(正午観測!$G$34&lt;$B$34,(I34)*-1,
                   IF(正午観測!$G$34&lt;$B$35,(I35)*-1,
                    IF(正午観測!$G$34&lt;$B$36,(I36)*-1,
                     IF(正午観測!$G$34&lt;$B$37,(I37)*-1,
                      IF(正午観測!$G$34&lt;$B$38,(I38)*-1,
                       IF(正午観測!$G$34&lt;$B$39,(I39)*-1,
                        IF(正午観測!$G$34&lt;$B$40,(I40)*-1,
                         IF(正午観測!$G$34&lt;$B$41,(I41)*-1,
                          IF(正午観測!$G$34&lt;$B$42,(I42)*-1,
                           IF(正午観測!$G$34&lt;$B$43,(I43)*-1,0
   )))))))))))))))))))))))))))</f>
        <v>0</v>
      </c>
      <c r="Y4" s="1" t="b">
        <f>IF(正午観測!$N$29="H",
  IF(正午観測!$G$34&lt;$B$18,(J18)*-1,
   IF(正午観測!$G$34&lt;$B$19,(J19)*-1,
    IF(正午観測!$G$34&lt;$B$20,(J20)*-1,
     IF(正午観測!$G$34&lt;$B$21,(J21)*-1,
      IF(正午観測!$G$34&lt;$B$22,(J22)*-1,
       IF(正午観測!$G$34&lt;$B$23,(J23)*-1,
        IF(正午観測!$G$34&lt;$B$24,(J24)*-1,
         IF(正午観測!$G$34&lt;$B$25,(J25)*-1,
          IF(正午観測!$G$34&lt;$B$26,(J26)*-1,
           IF(正午観測!$G$34&lt;$B$27,(J27)*-1,
            IF(正午観測!$G$34&lt;$B$28,(J28)*-1,
             IF(正午観測!$G$34&lt;$B$29,(J29)*-1,
              IF(正午観測!$G$34&lt;$B$30,(J30)*-1,
               IF(正午観測!$G$34&lt;$B$31,(J31)*-1,
                IF(正午観測!$G$34&lt;$B$32,(J32)*-1,
                 IF(正午観測!$G$34&lt;$B$33,(J33)*-1,
                  IF(正午観測!$G$34&lt;$B$34,(J34)*-1,
                   IF(正午観測!$G$34&lt;$B$35,(J35)*-1,
                    IF(正午観測!$G$34&lt;$B$36,(J36)*-1,
                     IF(正午観測!$G$34&lt;$B$37,(J37)*-1,
                      IF(正午観測!$G$34&lt;$B$38,(J38)*-1,
                       IF(正午観測!$G$34&lt;$B$39,(J39)*-1,
                        IF(正午観測!$G$34&lt;$B$40,(J40)*-1,
                         IF(正午観測!$G$34&lt;$B$41,(J41)*-1,
                          IF(正午観測!$G$34&lt;$B$42,(J42)*-1,
                           IF(正午観測!$G$34&lt;$B$43,(J43)*-1,0
   )))))))))))))))))))))))))))</f>
        <v>0</v>
      </c>
      <c r="Z4" s="1" t="b">
        <f>IF(正午観測!$N$29="J",
  IF(正午観測!$G$34&lt;$B$18,(K18)*-1,
   IF(正午観測!$G$34&lt;$B$19,(K19)*-1,
    IF(正午観測!$G$34&lt;$B$20,(K20)*-1,
     IF(正午観測!$G$34&lt;$B$21,(K21)*-1,
      IF(正午観測!$G$34&lt;$B$22,(K22)*-1,
       IF(正午観測!$G$34&lt;$B$23,(K23)*-1,
        IF(正午観測!$G$34&lt;$B$24,(K24)*-1,
         IF(正午観測!$G$34&lt;$B$25,(K25)*-1,
          IF(正午観測!$G$34&lt;$B$26,(K26)*-1,
           IF(正午観測!$G$34&lt;$B$27,(K27)*-1,
            IF(正午観測!$G$34&lt;$B$28,(K28)*-1,
             IF(正午観測!$G$34&lt;$B$29,(K29)*-1,
              IF(正午観測!$G$34&lt;$B$30,(K30)*-1,
               IF(正午観測!$G$34&lt;$B$31,(K31)*-1,
                IF(正午観測!$G$34&lt;$B$32,(K32)*-1,
                 IF(正午観測!$G$34&lt;$B$33,(K33)*-1,
                  IF(正午観測!$G$34&lt;$B$34,(K34)*-1,
                   IF(正午観測!$G$34&lt;$B$35,(K35)*-1,
                    IF(正午観測!$G$34&lt;$B$36,(K36)*-1,
                     IF(正午観測!$G$34&lt;$B$37,(K37)*-1,
                      IF(正午観測!$G$34&lt;$B$38,(K38)*-1,
                       IF(正午観測!$G$34&lt;$B$39,(K39)*-1,
                        IF(正午観測!$G$34&lt;$B$40,(K40)*-1,
                         IF(正午観測!$G$34&lt;$B$41,(K41)*-1,
                          IF(正午観測!$G$34&lt;$B$42,(K42)*-1,
                           IF(正午観測!$G$34&lt;$B$43,(K43)*-1,0
   )))))))))))))))))))))))))))</f>
        <v>0</v>
      </c>
      <c r="AA4" s="1" t="b">
        <f>IF(正午観測!$N$29="K",
  IF(正午観測!$G$34&lt;$B$18,(L18)*-1,
   IF(正午観測!$G$34&lt;$B$19,(L19)*-1,
    IF(正午観測!$G$34&lt;$B$20,(L20)*-1,
     IF(正午観測!$G$34&lt;$B$21,(L21)*-1,
      IF(正午観測!$G$34&lt;$B$22,(L22)*-1,
       IF(正午観測!$G$34&lt;$B$23,(L23)*-1,
        IF(正午観測!$G$34&lt;$B$24,(L24)*-1,
         IF(正午観測!$G$34&lt;$B$25,(L25)*-1,
          IF(正午観測!$G$34&lt;$B$26,(L26)*-1,
           IF(正午観測!$G$34&lt;$B$27,(L27)*-1,
            IF(正午観測!$G$34&lt;$B$28,(L28)*-1,
             IF(正午観測!$G$34&lt;$B$29,(L29)*-1,
              IF(正午観測!$G$34&lt;$B$30,(L30)*-1,
               IF(正午観測!$G$34&lt;$B$31,(L31)*-1,
                IF(正午観測!$G$34&lt;$B$32,(L32)*-1,
                 IF(正午観測!$G$34&lt;$B$33,(L33)*-1,
                  IF(正午観測!$G$34&lt;$B$34,(L34)*-1,
                   IF(正午観測!$G$34&lt;$B$35,(L35)*-1,
                    IF(正午観測!$G$34&lt;$B$36,(L36)*-1,
                     IF(正午観測!$G$34&lt;$B$37,(L37)*-1,
                      IF(正午観測!$G$34&lt;$B$38,(L38)*-1,
                       IF(正午観測!$G$34&lt;$B$39,(L39)*-1,
                        IF(正午観測!$G$34&lt;$B$40,(L40)*-1,
                         IF(正午観測!$G$34&lt;$B$41,(L41)*-1,
                          IF(正午観測!$G$34&lt;$B$42,(L42)*-1,
                           IF(正午観測!$G$34&lt;$B$43,(L43)*-1,0
   )))))))))))))))))))))))))))</f>
        <v>0</v>
      </c>
      <c r="AB4" s="1">
        <f>IF(正午観測!$N$29="L",
  IF(正午観測!$G$34&lt;$B$18,(M18)*-1,
   IF(正午観測!$G$34&lt;$B$19,(M19)*-1,
    IF(正午観測!$G$34&lt;$B$20,(M20)*-1,
     IF(正午観測!$G$34&lt;$B$21,(M21)*-1,
      IF(正午観測!$G$34&lt;$B$22,(M22)*-1,
       IF(正午観測!$G$34&lt;$B$23,(M23)*-1,
        IF(正午観測!$G$34&lt;$B$24,(M24)*-1,
         IF(正午観測!$G$34&lt;$B$25,(M25)*-1,
          IF(正午観測!$G$34&lt;$B$26,(M26)*-1,
           IF(正午観測!$G$34&lt;$B$27,(M27)*-1,
            IF(正午観測!$G$34&lt;$B$28,(M28)*-1,
             IF(正午観測!$G$34&lt;$B$29,(M29)*-1,
              IF(正午観測!$G$34&lt;$B$30,(M30)*-1,
               IF(正午観測!$G$34&lt;$B$31,(M31)*-1,
                IF(正午観測!$G$34&lt;$B$32,(M32)*-1,
                 IF(正午観測!$G$34&lt;$B$33,(M33)*-1,
                  IF(正午観測!$G$34&lt;$B$34,(M34)*-1,
                   IF(正午観測!$G$34&lt;$B$35,(M35)*-1,
                    IF(正午観測!$G$34&lt;$B$36,(M36)*-1,
                     IF(正午観測!$G$34&lt;$B$37,(M37)*-1,
                      IF(正午観測!$G$34&lt;$B$38,(M38)*-1,
                       IF(正午観測!$G$34&lt;$B$39,(M39)*-1,
                        IF(正午観測!$G$34&lt;$B$40,(M40)*-1,
                         IF(正午観測!$G$34&lt;$B$41,(M41)*-1,
                          IF(正午観測!$G$34&lt;$B$42,(M42)*-1,
                           IF(正午観測!$G$34&lt;$B$43,(M43)*-1,0
   )))))))))))))))))))))))))))</f>
        <v>0</v>
      </c>
      <c r="AC4" s="1" t="b">
        <f>IF(正午観測!$N$29="M",
  IF(正午観測!$G$34&lt;$B$18,(N18)*-1,
   IF(正午観測!$G$34&lt;$B$19,(N19)*-1,
    IF(正午観測!$G$34&lt;$B$20,(N20)*-1,
     IF(正午観測!$G$34&lt;$B$21,(N21)*-1,
      IF(正午観測!$G$34&lt;$B$22,(N22)*-1,
       IF(正午観測!$G$34&lt;$B$23,(N23)*-1,
        IF(正午観測!$G$34&lt;$B$24,(N24)*-1,
         IF(正午観測!$G$34&lt;$B$25,(N25)*-1,
          IF(正午観測!$G$34&lt;$B$26,(N26)*-1,
           IF(正午観測!$G$34&lt;$B$27,(N27)*-1,
            IF(正午観測!$G$34&lt;$B$28,(N28)*-1,
             IF(正午観測!$G$34&lt;$B$29,(N29)*-1,
              IF(正午観測!$G$34&lt;$B$30,(N30)*-1,
               IF(正午観測!$G$34&lt;$B$31,(N31)*-1,
                IF(正午観測!$G$34&lt;$B$32,(N32)*-1,
                 IF(正午観測!$G$34&lt;$B$33,(N33)*-1,
                  IF(正午観測!$G$34&lt;$B$34,(N34)*-1,
                   IF(正午観測!$G$34&lt;$B$35,(N35)*-1,
                    IF(正午観測!$G$34&lt;$B$36,(N36)*-1,
                     IF(正午観測!$G$34&lt;$B$37,(N37)*-1,
                      IF(正午観測!$G$34&lt;$B$38,(N38)*-1,
                       IF(正午観測!$G$34&lt;$B$39,(N39)*-1,
                        IF(正午観測!$G$34&lt;$B$40,(N40)*-1,
                         IF(正午観測!$G$34&lt;$B$41,(N41)*-1,
                          IF(正午観測!$G$34&lt;$B$42,(N42)*-1,
                           IF(正午観測!$G$34&lt;$B$43,(N43)*-1,0
   )))))))))))))))))))))))))))</f>
        <v>0</v>
      </c>
      <c r="AD4" s="1" t="b">
        <f>IF(正午観測!$N$29="N",
  IF(正午観測!$G$34&lt;$B$18,(O18)*-1,
   IF(正午観測!$G$34&lt;$B$19,(O19)*-1,
    IF(正午観測!$G$34&lt;$B$20,(O20)*-1,
     IF(正午観測!$G$34&lt;$B$21,(O21)*-1,
      IF(正午観測!$G$34&lt;$B$22,(O22)*-1,
       IF(正午観測!$G$34&lt;$B$23,(O23)*-1,
        IF(正午観測!$G$34&lt;$B$24,(O24)*-1,
         IF(正午観測!$G$34&lt;$B$25,(O25)*-1,
          IF(正午観測!$G$34&lt;$B$26,(O26)*-1,
           IF(正午観測!$G$34&lt;$B$27,(O27)*-1,
            IF(正午観測!$G$34&lt;$B$28,(O28)*-1,
             IF(正午観測!$G$34&lt;$B$29,(O29)*-1,
              IF(正午観測!$G$34&lt;$B$30,(O30)*-1,
               IF(正午観測!$G$34&lt;$B$31,(O31)*-1,
                IF(正午観測!$G$34&lt;$B$32,(O32)*-1,
                 IF(正午観測!$G$34&lt;$B$33,(O33)*-1,
                  IF(正午観測!$G$34&lt;$B$34,(O34)*-1,
                   IF(正午観測!$G$34&lt;$B$35,(O35)*-1,
                    IF(正午観測!$G$34&lt;$B$36,(O36)*-1,
                     IF(正午観測!$G$34&lt;$B$37,(O37)*-1,
                      IF(正午観測!$G$34&lt;$B$38,(O38)*-1,
                       IF(正午観測!$G$34&lt;$B$39,(O39)*-1,
                        IF(正午観測!$G$34&lt;$B$40,(O40)*-1,
                         IF(正午観測!$G$34&lt;$B$41,(O41)*-1,
                          IF(正午観測!$G$34&lt;$B$42,(O42)*-1,
                           IF(正午観測!$G$34&lt;$B$43,(O43)*-1,0
   )))))))))))))))))))))))))))</f>
        <v>0</v>
      </c>
      <c r="AE4" s="1" t="b">
        <f>IF(正午観測!$N$29="P",
  IF(正午観測!$G$34&lt;$B$18,(P18)*-1,
   IF(正午観測!$G$34&lt;$B$19,(P19)*-1,
    IF(正午観測!$G$34&lt;$B$20,(P20)*-1,
     IF(正午観測!$G$34&lt;$B$21,(P21)*-1,
      IF(正午観測!$G$34&lt;$B$22,(P22)*-1,
       IF(正午観測!$G$34&lt;$B$23,(P23)*-1,
        IF(正午観測!$G$34&lt;$B$24,(P24)*-1,
         IF(正午観測!$G$34&lt;$B$25,(P25)*-1,
          IF(正午観測!$G$34&lt;$B$26,(P26)*-1,
           IF(正午観測!$G$34&lt;$B$27,(P27)*-1,
            IF(正午観測!$G$34&lt;$B$28,(P28)*-1,
             IF(正午観測!$G$34&lt;$B$29,(P29)*-1,
              IF(正午観測!$G$34&lt;$B$30,(P30)*-1,
               IF(正午観測!$G$34&lt;$B$31,(P31)*-1,
                IF(正午観測!$G$34&lt;$B$32,(P32)*-1,
                 IF(正午観測!$G$34&lt;$B$33,(P33)*-1,
                  IF(正午観測!$G$34&lt;$B$34,(P34)*-1,
                   IF(正午観測!$G$34&lt;$B$35,(P35)*-1,
                    IF(正午観測!$G$34&lt;$B$36,(P36)*-1,
                     IF(正午観測!$G$34&lt;$B$37,(P37)*-1,
                      IF(正午観測!$G$34&lt;$B$38,(P38)*-1,
                       IF(正午観測!$G$34&lt;$B$39,(P39)*-1,
                        IF(正午観測!$G$34&lt;$B$40,(P40)*-1,
                         IF(正午観測!$G$34&lt;$B$41,(P41)*-1,
                          IF(正午観測!$G$34&lt;$B$42,(P42)*-1,
                           IF(正午観測!$G$34&lt;$B$43,(P43)*-1,0
   )))))))))))))))))))))))))))</f>
        <v>0</v>
      </c>
      <c r="AF4" s="1">
        <f>SUM(R4:AE4)</f>
        <v>0</v>
      </c>
      <c r="AG4" s="1"/>
    </row>
    <row r="5" spans="1:33" x14ac:dyDescent="0.4">
      <c r="A5" s="9"/>
      <c r="B5" s="41">
        <v>0.5</v>
      </c>
      <c r="C5" s="38">
        <v>-5.5</v>
      </c>
      <c r="D5" s="38">
        <v>-4.5</v>
      </c>
      <c r="E5" s="38">
        <v>-3.5</v>
      </c>
      <c r="F5" s="38">
        <v>-2.6</v>
      </c>
      <c r="G5" s="38">
        <v>-1.7</v>
      </c>
      <c r="H5" s="38">
        <v>-0.8</v>
      </c>
      <c r="I5" s="38">
        <v>0</v>
      </c>
      <c r="J5" s="38">
        <v>0.8</v>
      </c>
      <c r="K5" s="38">
        <v>1.6</v>
      </c>
      <c r="L5" s="38">
        <v>2.2999999999999998</v>
      </c>
      <c r="M5" s="38">
        <v>3.1</v>
      </c>
      <c r="N5" s="38">
        <v>3.8</v>
      </c>
      <c r="O5" s="38">
        <v>4.5</v>
      </c>
      <c r="P5" s="43">
        <v>5.3</v>
      </c>
      <c r="Q5" s="9"/>
      <c r="R5" s="1"/>
      <c r="S5" s="1"/>
      <c r="T5" s="1"/>
      <c r="U5" s="1"/>
      <c r="V5" s="1"/>
      <c r="W5" s="1"/>
      <c r="X5" s="1"/>
      <c r="Y5" s="1"/>
      <c r="Z5" s="1"/>
      <c r="AA5" s="1"/>
      <c r="AB5" s="1"/>
      <c r="AC5" s="1"/>
      <c r="AD5" s="1"/>
      <c r="AE5" s="1"/>
      <c r="AF5" s="1"/>
      <c r="AG5" s="1"/>
    </row>
    <row r="6" spans="1:33" x14ac:dyDescent="0.4">
      <c r="A6" s="9"/>
      <c r="B6" s="42">
        <v>1</v>
      </c>
      <c r="C6" s="38">
        <v>-4.4000000000000004</v>
      </c>
      <c r="D6" s="38">
        <v>-3.5</v>
      </c>
      <c r="E6" s="38">
        <v>-2.8</v>
      </c>
      <c r="F6" s="38">
        <v>-2</v>
      </c>
      <c r="G6" s="38">
        <v>-1.3</v>
      </c>
      <c r="H6" s="38">
        <v>-0.7</v>
      </c>
      <c r="I6" s="38">
        <v>0</v>
      </c>
      <c r="J6" s="38">
        <v>0.6</v>
      </c>
      <c r="K6" s="38">
        <v>1.2</v>
      </c>
      <c r="L6" s="38">
        <v>1.8</v>
      </c>
      <c r="M6" s="38">
        <v>2.4</v>
      </c>
      <c r="N6" s="38">
        <v>3</v>
      </c>
      <c r="O6" s="38">
        <v>3.6</v>
      </c>
      <c r="P6" s="43">
        <v>4.2</v>
      </c>
      <c r="Q6" s="9"/>
      <c r="R6" s="1"/>
      <c r="S6" s="1"/>
      <c r="T6" s="1"/>
      <c r="U6" s="1"/>
      <c r="V6" s="1"/>
      <c r="W6" s="1"/>
      <c r="X6" s="1"/>
      <c r="Y6" s="1"/>
      <c r="Z6" s="1"/>
      <c r="AA6" s="1"/>
      <c r="AB6" s="1"/>
      <c r="AC6" s="1"/>
      <c r="AD6" s="1"/>
      <c r="AE6" s="1"/>
      <c r="AF6" s="1"/>
      <c r="AG6" s="1"/>
    </row>
    <row r="7" spans="1:33" x14ac:dyDescent="0.4">
      <c r="A7" s="9"/>
      <c r="B7" s="42">
        <v>1.5</v>
      </c>
      <c r="C7" s="38">
        <v>-3.5</v>
      </c>
      <c r="D7" s="38">
        <v>-2.9</v>
      </c>
      <c r="E7" s="38">
        <v>-2.2000000000000002</v>
      </c>
      <c r="F7" s="38">
        <v>-1.7</v>
      </c>
      <c r="G7" s="38">
        <v>-1.1000000000000001</v>
      </c>
      <c r="H7" s="38">
        <v>-0.5</v>
      </c>
      <c r="I7" s="38">
        <v>0</v>
      </c>
      <c r="J7" s="38">
        <v>0.5</v>
      </c>
      <c r="K7" s="38">
        <v>1</v>
      </c>
      <c r="L7" s="38">
        <v>1.5</v>
      </c>
      <c r="M7" s="38">
        <v>2</v>
      </c>
      <c r="N7" s="38">
        <v>2.5</v>
      </c>
      <c r="O7" s="38">
        <v>2.9</v>
      </c>
      <c r="P7" s="43">
        <v>3.4</v>
      </c>
      <c r="Q7" s="9"/>
      <c r="R7" s="1"/>
      <c r="S7" s="1"/>
      <c r="T7" s="1"/>
      <c r="U7" s="1"/>
      <c r="V7" s="1"/>
      <c r="W7" s="1"/>
      <c r="X7" s="1"/>
      <c r="Y7" s="1"/>
      <c r="Z7" s="1"/>
      <c r="AA7" s="1"/>
      <c r="AB7" s="1"/>
      <c r="AC7" s="1"/>
      <c r="AD7" s="1"/>
      <c r="AE7" s="1"/>
      <c r="AF7" s="1"/>
      <c r="AG7" s="1"/>
    </row>
    <row r="8" spans="1:33" x14ac:dyDescent="0.4">
      <c r="A8" s="9"/>
      <c r="B8" s="42">
        <v>2</v>
      </c>
      <c r="C8" s="38">
        <v>-2.9</v>
      </c>
      <c r="D8" s="38">
        <v>-2.4</v>
      </c>
      <c r="E8" s="38">
        <v>-1.9</v>
      </c>
      <c r="F8" s="38">
        <v>-1.4</v>
      </c>
      <c r="G8" s="38">
        <v>-0.9</v>
      </c>
      <c r="H8" s="38">
        <v>-0.4</v>
      </c>
      <c r="I8" s="38">
        <v>0</v>
      </c>
      <c r="J8" s="38">
        <v>0.4</v>
      </c>
      <c r="K8" s="38">
        <v>0.8</v>
      </c>
      <c r="L8" s="38">
        <v>1.3</v>
      </c>
      <c r="M8" s="38">
        <v>1.7</v>
      </c>
      <c r="N8" s="38">
        <v>2</v>
      </c>
      <c r="O8" s="38">
        <v>2.4</v>
      </c>
      <c r="P8" s="43">
        <v>2.8</v>
      </c>
      <c r="Q8" s="9"/>
      <c r="R8" s="1"/>
      <c r="S8" s="1"/>
      <c r="T8" s="1"/>
      <c r="U8" s="1"/>
      <c r="V8" s="1"/>
      <c r="W8" s="1"/>
      <c r="X8" s="1"/>
      <c r="Y8" s="1"/>
      <c r="Z8" s="1"/>
      <c r="AA8" s="1"/>
      <c r="AB8" s="1"/>
      <c r="AC8" s="1"/>
      <c r="AD8" s="1"/>
      <c r="AE8" s="1"/>
      <c r="AF8" s="1"/>
      <c r="AG8" s="1"/>
    </row>
    <row r="9" spans="1:33" x14ac:dyDescent="0.4">
      <c r="A9" s="9"/>
      <c r="B9" s="42">
        <v>2.5</v>
      </c>
      <c r="C9" s="38">
        <v>-2.5</v>
      </c>
      <c r="D9" s="38">
        <v>-2</v>
      </c>
      <c r="E9" s="38">
        <v>-1.6</v>
      </c>
      <c r="F9" s="38">
        <v>-1.2</v>
      </c>
      <c r="G9" s="38">
        <v>-0.8</v>
      </c>
      <c r="H9" s="38">
        <v>-0.4</v>
      </c>
      <c r="I9" s="38">
        <v>0</v>
      </c>
      <c r="J9" s="38">
        <v>0.4</v>
      </c>
      <c r="K9" s="38">
        <v>0.7</v>
      </c>
      <c r="L9" s="38">
        <v>1.1000000000000001</v>
      </c>
      <c r="M9" s="38">
        <v>1.4</v>
      </c>
      <c r="N9" s="38">
        <v>1.7</v>
      </c>
      <c r="O9" s="38">
        <v>2.1</v>
      </c>
      <c r="P9" s="43">
        <v>2.4</v>
      </c>
      <c r="Q9" s="9"/>
      <c r="R9" s="1"/>
      <c r="S9" s="1"/>
      <c r="T9" s="1"/>
      <c r="U9" s="1"/>
      <c r="V9" s="1"/>
      <c r="W9" s="1"/>
      <c r="X9" s="1"/>
      <c r="Y9" s="1"/>
      <c r="Z9" s="1"/>
      <c r="AA9" s="1"/>
      <c r="AB9" s="1"/>
      <c r="AC9" s="1"/>
      <c r="AD9" s="1"/>
      <c r="AE9" s="1"/>
      <c r="AF9" s="1"/>
      <c r="AG9" s="1"/>
    </row>
    <row r="10" spans="1:33" x14ac:dyDescent="0.4">
      <c r="A10" s="9"/>
      <c r="B10" s="42">
        <v>3</v>
      </c>
      <c r="C10" s="38">
        <v>-2.1</v>
      </c>
      <c r="D10" s="38">
        <v>-1.7</v>
      </c>
      <c r="E10" s="38">
        <v>-1.4</v>
      </c>
      <c r="F10" s="38">
        <v>-1</v>
      </c>
      <c r="G10" s="38">
        <v>-0.7</v>
      </c>
      <c r="H10" s="38">
        <v>-0.3</v>
      </c>
      <c r="I10" s="38">
        <v>0</v>
      </c>
      <c r="J10" s="38">
        <v>0.3</v>
      </c>
      <c r="K10" s="38">
        <v>0.6</v>
      </c>
      <c r="L10" s="38">
        <v>0.9</v>
      </c>
      <c r="M10" s="38">
        <v>1.2</v>
      </c>
      <c r="N10" s="38">
        <v>1.5</v>
      </c>
      <c r="O10" s="38">
        <v>1.8</v>
      </c>
      <c r="P10" s="43">
        <v>2.1</v>
      </c>
      <c r="Q10" s="9"/>
      <c r="R10" s="1"/>
      <c r="S10" s="1"/>
      <c r="T10" s="1"/>
      <c r="U10" s="1"/>
      <c r="V10" s="1"/>
      <c r="W10" s="1"/>
      <c r="X10" s="1"/>
      <c r="Y10" s="1"/>
      <c r="Z10" s="1"/>
      <c r="AA10" s="1"/>
      <c r="AB10" s="1"/>
      <c r="AC10" s="1"/>
      <c r="AD10" s="1"/>
      <c r="AE10" s="1"/>
      <c r="AF10" s="1"/>
      <c r="AG10" s="1"/>
    </row>
    <row r="11" spans="1:33" x14ac:dyDescent="0.4">
      <c r="A11" s="9"/>
      <c r="B11" s="41">
        <v>3.5</v>
      </c>
      <c r="C11" s="38">
        <v>-1.9</v>
      </c>
      <c r="D11" s="38">
        <v>-1.5</v>
      </c>
      <c r="E11" s="38">
        <v>-1.2</v>
      </c>
      <c r="F11" s="38">
        <v>-0.9</v>
      </c>
      <c r="G11" s="38">
        <v>-0.6</v>
      </c>
      <c r="H11" s="38">
        <v>-0.3</v>
      </c>
      <c r="I11" s="38">
        <v>0</v>
      </c>
      <c r="J11" s="38">
        <v>0.3</v>
      </c>
      <c r="K11" s="38">
        <v>0.5</v>
      </c>
      <c r="L11" s="38">
        <v>0.8</v>
      </c>
      <c r="M11" s="38">
        <v>1.1000000000000001</v>
      </c>
      <c r="N11" s="38">
        <v>1.3</v>
      </c>
      <c r="O11" s="38">
        <v>1.6</v>
      </c>
      <c r="P11" s="43">
        <v>1.8</v>
      </c>
      <c r="Q11" s="9"/>
      <c r="R11" s="1"/>
      <c r="S11" s="1"/>
      <c r="T11" s="1"/>
      <c r="U11" s="1"/>
      <c r="V11" s="1"/>
      <c r="W11" s="1"/>
      <c r="X11" s="1"/>
      <c r="Y11" s="1"/>
      <c r="Z11" s="1"/>
      <c r="AA11" s="1"/>
      <c r="AB11" s="1"/>
      <c r="AC11" s="1"/>
      <c r="AD11" s="1"/>
      <c r="AE11" s="1"/>
      <c r="AF11" s="1"/>
      <c r="AG11" s="1"/>
    </row>
    <row r="12" spans="1:33" x14ac:dyDescent="0.4">
      <c r="A12" s="9"/>
      <c r="B12" s="42">
        <v>4</v>
      </c>
      <c r="C12" s="38">
        <v>-1.6</v>
      </c>
      <c r="D12" s="38">
        <v>-1.3</v>
      </c>
      <c r="E12" s="38">
        <v>-1.1000000000000001</v>
      </c>
      <c r="F12" s="38">
        <v>-0.8</v>
      </c>
      <c r="G12" s="38">
        <v>-0.5</v>
      </c>
      <c r="H12" s="38">
        <v>-0.3</v>
      </c>
      <c r="I12" s="38">
        <v>0</v>
      </c>
      <c r="J12" s="38">
        <v>0.2</v>
      </c>
      <c r="K12" s="38">
        <v>0.5</v>
      </c>
      <c r="L12" s="38">
        <v>0.7</v>
      </c>
      <c r="M12" s="38">
        <v>0.9</v>
      </c>
      <c r="N12" s="38">
        <v>1.2</v>
      </c>
      <c r="O12" s="38">
        <v>1.4</v>
      </c>
      <c r="P12" s="43">
        <v>1.6</v>
      </c>
      <c r="Q12" s="9"/>
      <c r="R12" s="1"/>
      <c r="S12" s="1"/>
      <c r="T12" s="1"/>
      <c r="U12" s="1"/>
      <c r="V12" s="1"/>
      <c r="W12" s="1"/>
      <c r="X12" s="1"/>
      <c r="Y12" s="1"/>
      <c r="Z12" s="1"/>
      <c r="AA12" s="1"/>
      <c r="AB12" s="1"/>
      <c r="AC12" s="1"/>
      <c r="AD12" s="1"/>
      <c r="AE12" s="1"/>
      <c r="AF12" s="1"/>
      <c r="AG12" s="1"/>
    </row>
    <row r="13" spans="1:33" x14ac:dyDescent="0.4">
      <c r="A13" s="9"/>
      <c r="B13" s="42">
        <v>4.5</v>
      </c>
      <c r="C13" s="38">
        <v>-1.5</v>
      </c>
      <c r="D13" s="38">
        <v>-1.2</v>
      </c>
      <c r="E13" s="38">
        <v>-0.9</v>
      </c>
      <c r="F13" s="38">
        <v>-0.7</v>
      </c>
      <c r="G13" s="38">
        <v>-0.5</v>
      </c>
      <c r="H13" s="38">
        <v>-0.2</v>
      </c>
      <c r="I13" s="38">
        <v>0</v>
      </c>
      <c r="J13" s="38">
        <v>0.2</v>
      </c>
      <c r="K13" s="38">
        <v>0.4</v>
      </c>
      <c r="L13" s="38">
        <v>0.6</v>
      </c>
      <c r="M13" s="38">
        <v>0.8</v>
      </c>
      <c r="N13" s="38">
        <v>1</v>
      </c>
      <c r="O13" s="38">
        <v>1.3</v>
      </c>
      <c r="P13" s="43">
        <v>1.5</v>
      </c>
      <c r="Q13" s="9"/>
      <c r="R13" s="1"/>
      <c r="S13" s="1"/>
      <c r="T13" s="1"/>
      <c r="U13" s="1"/>
      <c r="V13" s="1"/>
      <c r="W13" s="1"/>
      <c r="X13" s="1"/>
      <c r="Y13" s="1"/>
      <c r="Z13" s="1"/>
      <c r="AA13" s="1"/>
      <c r="AB13" s="1"/>
      <c r="AC13" s="1"/>
      <c r="AD13" s="1"/>
      <c r="AE13" s="1"/>
      <c r="AF13" s="1"/>
      <c r="AG13" s="1"/>
    </row>
    <row r="14" spans="1:33" x14ac:dyDescent="0.4">
      <c r="A14" s="9"/>
      <c r="B14" s="42">
        <v>5</v>
      </c>
      <c r="C14" s="38">
        <v>-1.3</v>
      </c>
      <c r="D14" s="38">
        <v>-1.1000000000000001</v>
      </c>
      <c r="E14" s="38">
        <v>-0.9</v>
      </c>
      <c r="F14" s="38">
        <v>-0.6</v>
      </c>
      <c r="G14" s="38">
        <v>-0.4</v>
      </c>
      <c r="H14" s="38">
        <v>-0.2</v>
      </c>
      <c r="I14" s="38">
        <v>0</v>
      </c>
      <c r="J14" s="38">
        <v>0.2</v>
      </c>
      <c r="K14" s="38">
        <v>0.4</v>
      </c>
      <c r="L14" s="38">
        <v>0.6</v>
      </c>
      <c r="M14" s="38">
        <v>0.8</v>
      </c>
      <c r="N14" s="38">
        <v>0.9</v>
      </c>
      <c r="O14" s="38">
        <v>1.1000000000000001</v>
      </c>
      <c r="P14" s="43">
        <v>1.3</v>
      </c>
      <c r="Q14" s="9"/>
      <c r="R14" s="1"/>
      <c r="S14" s="1"/>
      <c r="T14" s="1"/>
      <c r="U14" s="1"/>
      <c r="V14" s="1"/>
      <c r="W14" s="1"/>
      <c r="X14" s="1"/>
      <c r="Y14" s="1"/>
      <c r="Z14" s="1"/>
      <c r="AA14" s="1"/>
      <c r="AB14" s="1"/>
      <c r="AC14" s="1"/>
      <c r="AD14" s="1"/>
      <c r="AE14" s="1"/>
      <c r="AF14" s="1"/>
      <c r="AG14" s="1"/>
    </row>
    <row r="15" spans="1:33" x14ac:dyDescent="0.4">
      <c r="A15" s="9"/>
      <c r="B15" s="42">
        <v>6</v>
      </c>
      <c r="C15" s="38">
        <v>-1.1000000000000001</v>
      </c>
      <c r="D15" s="38">
        <v>-0.9</v>
      </c>
      <c r="E15" s="38">
        <v>-0.7</v>
      </c>
      <c r="F15" s="38">
        <v>-0.5</v>
      </c>
      <c r="G15" s="38">
        <v>-0.3</v>
      </c>
      <c r="H15" s="38">
        <v>-0.2</v>
      </c>
      <c r="I15" s="38">
        <v>0</v>
      </c>
      <c r="J15" s="38">
        <v>0.2</v>
      </c>
      <c r="K15" s="38">
        <v>0.3</v>
      </c>
      <c r="L15" s="38">
        <v>0.5</v>
      </c>
      <c r="M15" s="38">
        <v>0.6</v>
      </c>
      <c r="N15" s="38">
        <v>0.8</v>
      </c>
      <c r="O15" s="38">
        <v>0.9</v>
      </c>
      <c r="P15" s="43">
        <v>1.1000000000000001</v>
      </c>
      <c r="Q15" s="9"/>
      <c r="R15" s="1"/>
      <c r="S15" s="1"/>
      <c r="T15" s="1"/>
      <c r="U15" s="1"/>
      <c r="V15" s="1"/>
      <c r="W15" s="1"/>
      <c r="X15" s="1"/>
      <c r="Y15" s="1"/>
      <c r="Z15" s="1"/>
      <c r="AA15" s="1"/>
      <c r="AB15" s="1"/>
      <c r="AC15" s="1"/>
      <c r="AD15" s="1"/>
      <c r="AE15" s="1"/>
      <c r="AF15" s="1"/>
      <c r="AG15" s="1"/>
    </row>
    <row r="16" spans="1:33" x14ac:dyDescent="0.4">
      <c r="A16" s="9"/>
      <c r="B16" s="42">
        <v>7</v>
      </c>
      <c r="C16" s="38">
        <v>-1</v>
      </c>
      <c r="D16" s="38">
        <v>-0.8</v>
      </c>
      <c r="E16" s="38">
        <v>-0.6</v>
      </c>
      <c r="F16" s="38">
        <v>-0.5</v>
      </c>
      <c r="G16" s="38">
        <v>-0.3</v>
      </c>
      <c r="H16" s="38">
        <v>-0.1</v>
      </c>
      <c r="I16" s="38">
        <v>0</v>
      </c>
      <c r="J16" s="38">
        <v>0.1</v>
      </c>
      <c r="K16" s="38">
        <v>0.3</v>
      </c>
      <c r="L16" s="38">
        <v>0.4</v>
      </c>
      <c r="M16" s="38">
        <v>0.5</v>
      </c>
      <c r="N16" s="38">
        <v>0.7</v>
      </c>
      <c r="O16" s="38">
        <v>0.8</v>
      </c>
      <c r="P16" s="43">
        <v>0.9</v>
      </c>
      <c r="Q16" s="9"/>
      <c r="R16" s="1"/>
      <c r="S16" s="1"/>
      <c r="T16" s="1"/>
      <c r="U16" s="1"/>
      <c r="V16" s="1"/>
      <c r="W16" s="1"/>
      <c r="X16" s="1"/>
      <c r="Y16" s="1"/>
      <c r="Z16" s="1"/>
      <c r="AA16" s="1"/>
      <c r="AB16" s="1"/>
      <c r="AC16" s="1"/>
      <c r="AD16" s="1"/>
      <c r="AE16" s="1"/>
      <c r="AF16" s="1"/>
      <c r="AG16" s="1"/>
    </row>
    <row r="17" spans="1:33" x14ac:dyDescent="0.4">
      <c r="A17" s="9"/>
      <c r="B17" s="42">
        <v>8</v>
      </c>
      <c r="C17" s="38">
        <v>-0.8</v>
      </c>
      <c r="D17" s="38">
        <v>-0.7</v>
      </c>
      <c r="E17" s="38">
        <v>-0.5</v>
      </c>
      <c r="F17" s="38">
        <v>-0.4</v>
      </c>
      <c r="G17" s="38">
        <v>-0.3</v>
      </c>
      <c r="H17" s="38">
        <v>-0.1</v>
      </c>
      <c r="I17" s="38">
        <v>0</v>
      </c>
      <c r="J17" s="38">
        <v>0.1</v>
      </c>
      <c r="K17" s="38">
        <v>0.2</v>
      </c>
      <c r="L17" s="38">
        <v>0.4</v>
      </c>
      <c r="M17" s="38">
        <v>0.5</v>
      </c>
      <c r="N17" s="38">
        <v>0.6</v>
      </c>
      <c r="O17" s="38">
        <v>0.7</v>
      </c>
      <c r="P17" s="43">
        <v>0.8</v>
      </c>
      <c r="Q17" s="9"/>
      <c r="R17" s="1"/>
      <c r="S17" s="1"/>
      <c r="T17" s="1"/>
      <c r="U17" s="1"/>
      <c r="V17" s="1"/>
      <c r="W17" s="1"/>
      <c r="X17" s="1"/>
      <c r="Y17" s="1"/>
      <c r="Z17" s="1"/>
      <c r="AA17" s="1"/>
      <c r="AB17" s="1"/>
      <c r="AC17" s="1"/>
      <c r="AD17" s="1"/>
      <c r="AE17" s="1"/>
      <c r="AF17" s="1"/>
      <c r="AG17" s="1"/>
    </row>
    <row r="18" spans="1:33" x14ac:dyDescent="0.4">
      <c r="A18" s="9"/>
      <c r="B18" s="42">
        <v>9</v>
      </c>
      <c r="C18" s="38">
        <v>-0.7</v>
      </c>
      <c r="D18" s="38">
        <v>-0.6</v>
      </c>
      <c r="E18" s="38">
        <v>-0.5</v>
      </c>
      <c r="F18" s="38">
        <v>-0.4</v>
      </c>
      <c r="G18" s="38">
        <v>-0.2</v>
      </c>
      <c r="H18" s="38">
        <v>-0.1</v>
      </c>
      <c r="I18" s="38">
        <v>0</v>
      </c>
      <c r="J18" s="38">
        <v>0.1</v>
      </c>
      <c r="K18" s="38">
        <v>0.2</v>
      </c>
      <c r="L18" s="38">
        <v>0.3</v>
      </c>
      <c r="M18" s="38">
        <v>0.4</v>
      </c>
      <c r="N18" s="38">
        <v>0.5</v>
      </c>
      <c r="O18" s="38">
        <v>0.6</v>
      </c>
      <c r="P18" s="43">
        <v>0.7</v>
      </c>
      <c r="Q18" s="9"/>
      <c r="R18" s="1"/>
      <c r="S18" s="1"/>
      <c r="T18" s="1"/>
      <c r="U18" s="1"/>
      <c r="V18" s="1"/>
      <c r="W18" s="1"/>
      <c r="X18" s="1"/>
      <c r="Y18" s="1"/>
      <c r="Z18" s="1"/>
      <c r="AA18" s="1"/>
      <c r="AB18" s="1"/>
      <c r="AC18" s="1"/>
      <c r="AD18" s="1"/>
      <c r="AE18" s="1"/>
      <c r="AF18" s="1"/>
      <c r="AG18" s="1"/>
    </row>
    <row r="19" spans="1:33" x14ac:dyDescent="0.4">
      <c r="A19" s="9"/>
      <c r="B19" s="42">
        <v>10</v>
      </c>
      <c r="C19" s="38">
        <v>-0.7</v>
      </c>
      <c r="D19" s="38">
        <v>-0.5</v>
      </c>
      <c r="E19" s="38">
        <v>-0.4</v>
      </c>
      <c r="F19" s="38">
        <v>-0.3</v>
      </c>
      <c r="G19" s="38">
        <v>-0.2</v>
      </c>
      <c r="H19" s="38">
        <v>-0.1</v>
      </c>
      <c r="I19" s="38">
        <v>0</v>
      </c>
      <c r="J19" s="38">
        <v>0.1</v>
      </c>
      <c r="K19" s="38">
        <v>0.2</v>
      </c>
      <c r="L19" s="38">
        <v>0.3</v>
      </c>
      <c r="M19" s="38">
        <v>0.4</v>
      </c>
      <c r="N19" s="38">
        <v>0.5</v>
      </c>
      <c r="O19" s="38">
        <v>0.6</v>
      </c>
      <c r="P19" s="43">
        <v>0.7</v>
      </c>
      <c r="Q19" s="9"/>
      <c r="R19" s="1"/>
      <c r="S19" s="1"/>
      <c r="T19" s="1"/>
      <c r="U19" s="1"/>
      <c r="V19" s="1"/>
      <c r="W19" s="1"/>
      <c r="X19" s="1"/>
      <c r="Y19" s="1"/>
      <c r="Z19" s="1"/>
      <c r="AA19" s="1"/>
      <c r="AB19" s="1"/>
      <c r="AC19" s="1"/>
      <c r="AD19" s="1"/>
      <c r="AE19" s="1"/>
      <c r="AF19" s="1"/>
      <c r="AG19" s="1"/>
    </row>
    <row r="20" spans="1:33" x14ac:dyDescent="0.4">
      <c r="A20" s="9"/>
      <c r="B20" s="42">
        <v>12</v>
      </c>
      <c r="C20" s="38">
        <v>-0.6</v>
      </c>
      <c r="D20" s="38">
        <v>-0.5</v>
      </c>
      <c r="E20" s="38">
        <v>-0.4</v>
      </c>
      <c r="F20" s="38">
        <v>-0.3</v>
      </c>
      <c r="G20" s="38">
        <v>-0.2</v>
      </c>
      <c r="H20" s="38">
        <v>-0.1</v>
      </c>
      <c r="I20" s="38">
        <v>0</v>
      </c>
      <c r="J20" s="38">
        <v>0.1</v>
      </c>
      <c r="K20" s="38">
        <v>0.2</v>
      </c>
      <c r="L20" s="38">
        <v>0.2</v>
      </c>
      <c r="M20" s="38">
        <v>0.3</v>
      </c>
      <c r="N20" s="38">
        <v>0.4</v>
      </c>
      <c r="O20" s="38">
        <v>0.5</v>
      </c>
      <c r="P20" s="43">
        <v>0.5</v>
      </c>
      <c r="Q20" s="9"/>
      <c r="R20" s="1"/>
      <c r="S20" s="1"/>
      <c r="T20" s="1"/>
      <c r="U20" s="1"/>
      <c r="V20" s="1"/>
      <c r="W20" s="1"/>
      <c r="X20" s="1"/>
      <c r="Y20" s="1"/>
      <c r="Z20" s="1"/>
      <c r="AA20" s="1"/>
      <c r="AB20" s="1"/>
      <c r="AC20" s="1"/>
      <c r="AD20" s="1"/>
      <c r="AE20" s="1"/>
      <c r="AF20" s="1"/>
      <c r="AG20" s="1"/>
    </row>
    <row r="21" spans="1:33" x14ac:dyDescent="0.4">
      <c r="A21" s="9"/>
      <c r="B21" s="42">
        <v>14</v>
      </c>
      <c r="C21" s="38">
        <v>-0.5</v>
      </c>
      <c r="D21" s="38">
        <v>-0.4</v>
      </c>
      <c r="E21" s="38">
        <v>-0.3</v>
      </c>
      <c r="F21" s="38">
        <v>-0.2</v>
      </c>
      <c r="G21" s="38">
        <v>-0.1</v>
      </c>
      <c r="H21" s="38">
        <v>-0.1</v>
      </c>
      <c r="I21" s="38">
        <v>0</v>
      </c>
      <c r="J21" s="38">
        <v>0.1</v>
      </c>
      <c r="K21" s="38">
        <v>0.1</v>
      </c>
      <c r="L21" s="38">
        <v>0.2</v>
      </c>
      <c r="M21" s="38">
        <v>0.3</v>
      </c>
      <c r="N21" s="38">
        <v>0.3</v>
      </c>
      <c r="O21" s="38">
        <v>0.4</v>
      </c>
      <c r="P21" s="43">
        <v>0.5</v>
      </c>
      <c r="Q21" s="9"/>
      <c r="R21" s="1"/>
      <c r="S21" s="1"/>
      <c r="T21" s="1"/>
      <c r="U21" s="1"/>
      <c r="V21" s="1"/>
      <c r="W21" s="1"/>
      <c r="X21" s="1"/>
      <c r="Y21" s="1"/>
      <c r="Z21" s="1"/>
      <c r="AA21" s="1"/>
      <c r="AB21" s="1"/>
      <c r="AC21" s="1"/>
      <c r="AD21" s="1"/>
      <c r="AE21" s="1"/>
      <c r="AF21" s="1"/>
      <c r="AG21" s="1"/>
    </row>
    <row r="22" spans="1:33" x14ac:dyDescent="0.4">
      <c r="A22" s="9"/>
      <c r="B22" s="42">
        <v>16</v>
      </c>
      <c r="C22" s="38">
        <v>-0.4</v>
      </c>
      <c r="D22" s="38">
        <v>-0.3</v>
      </c>
      <c r="E22" s="38">
        <v>-0.3</v>
      </c>
      <c r="F22" s="38">
        <v>-0.2</v>
      </c>
      <c r="G22" s="38">
        <v>-0.1</v>
      </c>
      <c r="H22" s="38">
        <v>-0.1</v>
      </c>
      <c r="I22" s="38">
        <v>0</v>
      </c>
      <c r="J22" s="38">
        <v>0.1</v>
      </c>
      <c r="K22" s="38">
        <v>0.1</v>
      </c>
      <c r="L22" s="38">
        <v>0.2</v>
      </c>
      <c r="M22" s="38">
        <v>0.2</v>
      </c>
      <c r="N22" s="38">
        <v>0.3</v>
      </c>
      <c r="O22" s="38">
        <v>0.3</v>
      </c>
      <c r="P22" s="43">
        <v>0.4</v>
      </c>
      <c r="Q22" s="9"/>
      <c r="R22" s="1"/>
      <c r="S22" s="1"/>
      <c r="T22" s="1"/>
      <c r="U22" s="1"/>
      <c r="V22" s="1"/>
      <c r="W22" s="1"/>
      <c r="X22" s="1"/>
      <c r="Y22" s="1"/>
      <c r="Z22" s="1"/>
      <c r="AA22" s="1"/>
      <c r="AB22" s="1"/>
      <c r="AC22" s="1"/>
      <c r="AD22" s="1"/>
      <c r="AE22" s="1"/>
      <c r="AF22" s="1"/>
      <c r="AG22" s="1"/>
    </row>
    <row r="23" spans="1:33" x14ac:dyDescent="0.4">
      <c r="A23" s="9"/>
      <c r="B23" s="42">
        <v>18</v>
      </c>
      <c r="C23" s="38">
        <v>-0.4</v>
      </c>
      <c r="D23" s="38">
        <v>-0.3</v>
      </c>
      <c r="E23" s="38">
        <v>-0.2</v>
      </c>
      <c r="F23" s="38">
        <v>-0.2</v>
      </c>
      <c r="G23" s="38">
        <v>-0.1</v>
      </c>
      <c r="H23" s="38">
        <v>-0.1</v>
      </c>
      <c r="I23" s="38">
        <v>0</v>
      </c>
      <c r="J23" s="38">
        <v>0.1</v>
      </c>
      <c r="K23" s="38">
        <v>0.1</v>
      </c>
      <c r="L23" s="38">
        <v>0.2</v>
      </c>
      <c r="M23" s="38">
        <v>0.2</v>
      </c>
      <c r="N23" s="38">
        <v>0.3</v>
      </c>
      <c r="O23" s="38">
        <v>0.3</v>
      </c>
      <c r="P23" s="43">
        <v>0.4</v>
      </c>
      <c r="Q23" s="9"/>
      <c r="R23" s="1"/>
      <c r="S23" s="1"/>
      <c r="T23" s="1"/>
      <c r="U23" s="1"/>
      <c r="V23" s="1"/>
      <c r="W23" s="1"/>
      <c r="X23" s="1"/>
      <c r="Y23" s="1"/>
      <c r="Z23" s="1"/>
      <c r="AA23" s="1"/>
      <c r="AB23" s="1"/>
      <c r="AC23" s="1"/>
      <c r="AD23" s="1"/>
      <c r="AE23" s="1"/>
      <c r="AF23" s="1"/>
      <c r="AG23" s="1"/>
    </row>
    <row r="24" spans="1:33" x14ac:dyDescent="0.4">
      <c r="A24" s="9"/>
      <c r="B24" s="42">
        <v>20</v>
      </c>
      <c r="C24" s="38">
        <v>-0.3</v>
      </c>
      <c r="D24" s="38">
        <v>-0.3</v>
      </c>
      <c r="E24" s="38">
        <v>-0.2</v>
      </c>
      <c r="F24" s="38">
        <v>-0.2</v>
      </c>
      <c r="G24" s="38">
        <v>-0.1</v>
      </c>
      <c r="H24" s="38">
        <v>0</v>
      </c>
      <c r="I24" s="38">
        <v>0</v>
      </c>
      <c r="J24" s="38">
        <v>0</v>
      </c>
      <c r="K24" s="38">
        <v>0.1</v>
      </c>
      <c r="L24" s="38">
        <v>0.1</v>
      </c>
      <c r="M24" s="38">
        <v>0.2</v>
      </c>
      <c r="N24" s="38">
        <v>0.2</v>
      </c>
      <c r="O24" s="38">
        <v>0.3</v>
      </c>
      <c r="P24" s="43">
        <v>0.3</v>
      </c>
      <c r="Q24" s="9"/>
      <c r="R24" s="1"/>
      <c r="S24" s="1"/>
      <c r="T24" s="1"/>
      <c r="U24" s="1"/>
      <c r="V24" s="1"/>
      <c r="W24" s="1"/>
      <c r="X24" s="1"/>
      <c r="Y24" s="1"/>
      <c r="Z24" s="1"/>
      <c r="AA24" s="1"/>
      <c r="AB24" s="1"/>
      <c r="AC24" s="1"/>
      <c r="AD24" s="1"/>
      <c r="AE24" s="1"/>
      <c r="AF24" s="1"/>
      <c r="AG24" s="1"/>
    </row>
    <row r="25" spans="1:33" x14ac:dyDescent="0.4">
      <c r="A25" s="9"/>
      <c r="B25" s="42">
        <v>25</v>
      </c>
      <c r="C25" s="38">
        <v>-0.3</v>
      </c>
      <c r="D25" s="38">
        <v>-0.2</v>
      </c>
      <c r="E25" s="38">
        <v>-0.2</v>
      </c>
      <c r="F25" s="38">
        <v>-0.1</v>
      </c>
      <c r="G25" s="38">
        <v>-0.1</v>
      </c>
      <c r="H25" s="38">
        <v>0</v>
      </c>
      <c r="I25" s="38">
        <v>0</v>
      </c>
      <c r="J25" s="38">
        <v>0</v>
      </c>
      <c r="K25" s="38">
        <v>0.1</v>
      </c>
      <c r="L25" s="38">
        <v>0.1</v>
      </c>
      <c r="M25" s="38">
        <v>0.1</v>
      </c>
      <c r="N25" s="38">
        <v>0.2</v>
      </c>
      <c r="O25" s="38">
        <v>0.2</v>
      </c>
      <c r="P25" s="43">
        <v>0.2</v>
      </c>
      <c r="Q25" s="9"/>
      <c r="R25" s="1"/>
      <c r="S25" s="1"/>
      <c r="T25" s="1"/>
      <c r="U25" s="1"/>
      <c r="V25" s="1"/>
      <c r="W25" s="1"/>
      <c r="X25" s="1"/>
      <c r="Y25" s="1"/>
      <c r="Z25" s="1"/>
      <c r="AA25" s="1"/>
      <c r="AB25" s="1"/>
      <c r="AC25" s="1"/>
      <c r="AD25" s="1"/>
      <c r="AE25" s="1"/>
      <c r="AF25" s="1"/>
      <c r="AG25" s="1"/>
    </row>
    <row r="26" spans="1:33" x14ac:dyDescent="0.4">
      <c r="A26" s="9"/>
      <c r="B26" s="42">
        <v>30</v>
      </c>
      <c r="C26" s="38">
        <v>-0.2</v>
      </c>
      <c r="D26" s="38">
        <v>-0.2</v>
      </c>
      <c r="E26" s="38">
        <v>-0.1</v>
      </c>
      <c r="F26" s="38">
        <v>-0.1</v>
      </c>
      <c r="G26" s="38">
        <v>-0.1</v>
      </c>
      <c r="H26" s="38">
        <v>0</v>
      </c>
      <c r="I26" s="38">
        <v>0</v>
      </c>
      <c r="J26" s="38">
        <v>0</v>
      </c>
      <c r="K26" s="38">
        <v>0.1</v>
      </c>
      <c r="L26" s="38">
        <v>0.1</v>
      </c>
      <c r="M26" s="38">
        <v>0.1</v>
      </c>
      <c r="N26" s="38">
        <v>0.1</v>
      </c>
      <c r="O26" s="38">
        <v>0.2</v>
      </c>
      <c r="P26" s="43">
        <v>0.2</v>
      </c>
      <c r="Q26" s="9"/>
      <c r="R26" s="1"/>
      <c r="S26" s="1"/>
      <c r="T26" s="1"/>
      <c r="U26" s="1"/>
      <c r="V26" s="1"/>
      <c r="W26" s="1"/>
      <c r="X26" s="1"/>
      <c r="Y26" s="1"/>
      <c r="Z26" s="1"/>
      <c r="AA26" s="1"/>
      <c r="AB26" s="1"/>
      <c r="AC26" s="1"/>
      <c r="AD26" s="1"/>
      <c r="AE26" s="1"/>
      <c r="AF26" s="1"/>
      <c r="AG26" s="1"/>
    </row>
    <row r="27" spans="1:33" x14ac:dyDescent="0.4">
      <c r="A27" s="9"/>
      <c r="B27" s="42">
        <v>35</v>
      </c>
      <c r="C27" s="38">
        <v>-0.2</v>
      </c>
      <c r="D27" s="38">
        <v>-0.1</v>
      </c>
      <c r="E27" s="38">
        <v>-0.1</v>
      </c>
      <c r="F27" s="38">
        <v>-0.1</v>
      </c>
      <c r="G27" s="38">
        <v>-0.1</v>
      </c>
      <c r="H27" s="38">
        <v>0</v>
      </c>
      <c r="I27" s="38">
        <v>0</v>
      </c>
      <c r="J27" s="38">
        <v>0</v>
      </c>
      <c r="K27" s="38">
        <v>0</v>
      </c>
      <c r="L27" s="38">
        <v>0.1</v>
      </c>
      <c r="M27" s="38">
        <v>0.1</v>
      </c>
      <c r="N27" s="38">
        <v>0.1</v>
      </c>
      <c r="O27" s="38">
        <v>0.1</v>
      </c>
      <c r="P27" s="43">
        <v>0.2</v>
      </c>
      <c r="Q27" s="9"/>
      <c r="R27" s="1"/>
      <c r="S27" s="1"/>
      <c r="T27" s="1"/>
      <c r="U27" s="1"/>
      <c r="V27" s="1"/>
      <c r="W27" s="1"/>
      <c r="X27" s="1"/>
      <c r="Y27" s="1"/>
      <c r="Z27" s="1"/>
      <c r="AA27" s="1"/>
      <c r="AB27" s="1"/>
      <c r="AC27" s="1"/>
      <c r="AD27" s="1"/>
      <c r="AE27" s="1"/>
      <c r="AF27" s="1"/>
      <c r="AG27" s="1"/>
    </row>
    <row r="28" spans="1:33" x14ac:dyDescent="0.4">
      <c r="A28" s="9"/>
      <c r="B28" s="42">
        <v>40</v>
      </c>
      <c r="C28" s="38">
        <v>-0.1</v>
      </c>
      <c r="D28" s="38">
        <v>-0.1</v>
      </c>
      <c r="E28" s="38">
        <v>-0.1</v>
      </c>
      <c r="F28" s="38">
        <v>-0.1</v>
      </c>
      <c r="G28" s="38">
        <v>0</v>
      </c>
      <c r="H28" s="38">
        <v>0</v>
      </c>
      <c r="I28" s="38">
        <v>0</v>
      </c>
      <c r="J28" s="38">
        <v>0</v>
      </c>
      <c r="K28" s="38">
        <v>0</v>
      </c>
      <c r="L28" s="38">
        <v>0.1</v>
      </c>
      <c r="M28" s="38">
        <v>0.1</v>
      </c>
      <c r="N28" s="38">
        <v>0.1</v>
      </c>
      <c r="O28" s="38">
        <v>0.1</v>
      </c>
      <c r="P28" s="43">
        <v>0.1</v>
      </c>
      <c r="Q28" s="9"/>
      <c r="R28" s="1"/>
      <c r="S28" s="1"/>
      <c r="T28" s="1"/>
      <c r="U28" s="1"/>
      <c r="V28" s="1"/>
      <c r="W28" s="1"/>
      <c r="X28" s="1"/>
      <c r="Y28" s="1"/>
      <c r="Z28" s="1"/>
      <c r="AA28" s="1"/>
      <c r="AB28" s="1"/>
      <c r="AC28" s="1"/>
      <c r="AD28" s="1"/>
      <c r="AE28" s="1"/>
      <c r="AF28" s="1"/>
      <c r="AG28" s="1"/>
    </row>
    <row r="29" spans="1:33" ht="19.5" thickBot="1" x14ac:dyDescent="0.45">
      <c r="A29" s="9"/>
      <c r="B29" s="44">
        <v>50</v>
      </c>
      <c r="C29" s="45">
        <v>-0.1</v>
      </c>
      <c r="D29" s="45">
        <v>-0.1</v>
      </c>
      <c r="E29" s="45">
        <v>0</v>
      </c>
      <c r="F29" s="45">
        <v>0</v>
      </c>
      <c r="G29" s="45">
        <v>0</v>
      </c>
      <c r="H29" s="45">
        <v>0</v>
      </c>
      <c r="I29" s="45">
        <v>0</v>
      </c>
      <c r="J29" s="45">
        <v>0</v>
      </c>
      <c r="K29" s="45">
        <v>0</v>
      </c>
      <c r="L29" s="45">
        <v>0</v>
      </c>
      <c r="M29" s="45">
        <v>0.1</v>
      </c>
      <c r="N29" s="45">
        <v>0.1</v>
      </c>
      <c r="O29" s="45">
        <v>0.1</v>
      </c>
      <c r="P29" s="46">
        <v>0.1</v>
      </c>
      <c r="Q29" s="9"/>
      <c r="R29" s="1"/>
      <c r="S29" s="1"/>
      <c r="T29" s="1"/>
      <c r="U29" s="1"/>
      <c r="V29" s="1"/>
      <c r="W29" s="1"/>
      <c r="X29" s="1"/>
      <c r="Y29" s="1"/>
      <c r="Z29" s="1"/>
      <c r="AA29" s="1"/>
      <c r="AB29" s="1"/>
      <c r="AC29" s="1"/>
      <c r="AD29" s="1"/>
      <c r="AE29" s="1"/>
      <c r="AF29" s="1"/>
      <c r="AG29" s="1"/>
    </row>
    <row r="30" spans="1:33" x14ac:dyDescent="0.4">
      <c r="A30" s="9"/>
      <c r="B30" s="9"/>
      <c r="C30" s="9"/>
      <c r="D30" s="9"/>
      <c r="E30" s="9"/>
      <c r="F30" s="9"/>
      <c r="G30" s="9"/>
      <c r="H30" s="9"/>
      <c r="I30" s="9"/>
      <c r="J30" s="9"/>
      <c r="K30" s="9"/>
      <c r="L30" s="9"/>
      <c r="M30" s="9"/>
      <c r="N30" s="9"/>
      <c r="O30" s="9"/>
      <c r="P30" s="9"/>
      <c r="Q30" s="1"/>
      <c r="R30" s="1"/>
      <c r="S30" s="1"/>
      <c r="T30" s="1"/>
      <c r="U30" s="1"/>
      <c r="V30" s="1"/>
      <c r="W30" s="1"/>
      <c r="X30" s="1"/>
      <c r="Y30" s="1"/>
      <c r="Z30" s="1"/>
      <c r="AA30" s="1"/>
      <c r="AB30" s="1"/>
      <c r="AC30" s="1"/>
      <c r="AD30" s="1"/>
      <c r="AE30" s="1"/>
      <c r="AF30" s="1"/>
      <c r="AG30" s="1"/>
    </row>
  </sheetData>
  <mergeCells count="1">
    <mergeCell ref="B2:B3"/>
  </mergeCells>
  <phoneticPr fontId="2"/>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D5AAE-2896-4161-B2AF-650416438451}">
  <dimension ref="B2:E207"/>
  <sheetViews>
    <sheetView tabSelected="1" zoomScale="70" zoomScaleNormal="70" workbookViewId="0">
      <selection activeCell="Q7" sqref="Q7"/>
    </sheetView>
  </sheetViews>
  <sheetFormatPr defaultRowHeight="18.75" x14ac:dyDescent="0.4"/>
  <cols>
    <col min="1" max="16384" width="9" style="251"/>
  </cols>
  <sheetData>
    <row r="2" spans="2:5" ht="33" x14ac:dyDescent="0.4">
      <c r="B2" s="250" t="s">
        <v>165</v>
      </c>
    </row>
    <row r="3" spans="2:5" ht="18.75" customHeight="1" x14ac:dyDescent="0.4">
      <c r="B3" s="250"/>
    </row>
    <row r="4" spans="2:5" x14ac:dyDescent="0.4">
      <c r="B4" s="251" t="s">
        <v>148</v>
      </c>
    </row>
    <row r="5" spans="2:5" x14ac:dyDescent="0.4">
      <c r="B5" s="251" t="s">
        <v>147</v>
      </c>
    </row>
    <row r="7" spans="2:5" x14ac:dyDescent="0.4">
      <c r="B7" s="256" t="s">
        <v>224</v>
      </c>
      <c r="C7" s="251" t="s">
        <v>225</v>
      </c>
    </row>
    <row r="8" spans="2:5" x14ac:dyDescent="0.4">
      <c r="C8" s="251" t="s">
        <v>226</v>
      </c>
    </row>
    <row r="10" spans="2:5" x14ac:dyDescent="0.4">
      <c r="B10" s="255" t="s">
        <v>227</v>
      </c>
    </row>
    <row r="11" spans="2:5" x14ac:dyDescent="0.4">
      <c r="B11" s="255"/>
      <c r="C11" s="313" t="s">
        <v>228</v>
      </c>
    </row>
    <row r="13" spans="2:5" x14ac:dyDescent="0.4">
      <c r="B13" s="256" t="s">
        <v>163</v>
      </c>
    </row>
    <row r="14" spans="2:5" x14ac:dyDescent="0.4">
      <c r="B14" s="252" t="s">
        <v>149</v>
      </c>
      <c r="C14" s="252" t="s">
        <v>150</v>
      </c>
      <c r="D14" s="252" t="s">
        <v>152</v>
      </c>
      <c r="E14" s="253" t="s">
        <v>156</v>
      </c>
    </row>
    <row r="15" spans="2:5" x14ac:dyDescent="0.4">
      <c r="B15" s="252" t="s">
        <v>149</v>
      </c>
      <c r="C15" s="252" t="s">
        <v>151</v>
      </c>
      <c r="D15" s="252" t="s">
        <v>152</v>
      </c>
      <c r="E15" s="253" t="s">
        <v>157</v>
      </c>
    </row>
    <row r="16" spans="2:5" x14ac:dyDescent="0.4">
      <c r="B16" s="252" t="s">
        <v>149</v>
      </c>
      <c r="C16" s="252" t="s">
        <v>153</v>
      </c>
      <c r="D16" s="252" t="s">
        <v>152</v>
      </c>
      <c r="E16" s="253" t="s">
        <v>158</v>
      </c>
    </row>
    <row r="17" spans="2:5" x14ac:dyDescent="0.4">
      <c r="B17" s="252" t="s">
        <v>149</v>
      </c>
      <c r="C17" s="252" t="s">
        <v>154</v>
      </c>
      <c r="D17" s="252" t="s">
        <v>152</v>
      </c>
      <c r="E17" s="253" t="s">
        <v>159</v>
      </c>
    </row>
    <row r="18" spans="2:5" x14ac:dyDescent="0.4">
      <c r="B18" s="252" t="s">
        <v>149</v>
      </c>
      <c r="C18" s="252" t="s">
        <v>57</v>
      </c>
      <c r="D18" s="252" t="s">
        <v>152</v>
      </c>
      <c r="E18" s="253" t="s">
        <v>160</v>
      </c>
    </row>
    <row r="19" spans="2:5" x14ac:dyDescent="0.4">
      <c r="B19" s="252" t="s">
        <v>149</v>
      </c>
      <c r="C19" s="252" t="s">
        <v>155</v>
      </c>
      <c r="D19" s="252" t="s">
        <v>152</v>
      </c>
      <c r="E19" s="253" t="s">
        <v>161</v>
      </c>
    </row>
    <row r="20" spans="2:5" x14ac:dyDescent="0.4">
      <c r="B20" s="252" t="s">
        <v>149</v>
      </c>
      <c r="C20" s="252" t="s">
        <v>162</v>
      </c>
      <c r="D20" s="252" t="s">
        <v>152</v>
      </c>
      <c r="E20" s="253" t="s">
        <v>164</v>
      </c>
    </row>
    <row r="22" spans="2:5" x14ac:dyDescent="0.4">
      <c r="B22" s="257" t="s">
        <v>169</v>
      </c>
    </row>
    <row r="23" spans="2:5" x14ac:dyDescent="0.4">
      <c r="B23" s="252" t="s">
        <v>149</v>
      </c>
      <c r="C23" s="253" t="s">
        <v>170</v>
      </c>
    </row>
    <row r="25" spans="2:5" x14ac:dyDescent="0.4">
      <c r="B25" s="257" t="s">
        <v>166</v>
      </c>
    </row>
    <row r="26" spans="2:5" x14ac:dyDescent="0.4">
      <c r="C26" s="252" t="s">
        <v>152</v>
      </c>
      <c r="D26" s="251" t="s">
        <v>167</v>
      </c>
    </row>
    <row r="27" spans="2:5" x14ac:dyDescent="0.4">
      <c r="B27" s="254" t="b">
        <v>1</v>
      </c>
      <c r="C27" s="252" t="s">
        <v>152</v>
      </c>
      <c r="D27" s="251" t="s">
        <v>168</v>
      </c>
    </row>
    <row r="29" spans="2:5" x14ac:dyDescent="0.4">
      <c r="B29" s="256" t="s">
        <v>171</v>
      </c>
    </row>
    <row r="66" spans="2:3" x14ac:dyDescent="0.4">
      <c r="B66" s="258" t="s">
        <v>183</v>
      </c>
      <c r="C66" s="255" t="s">
        <v>184</v>
      </c>
    </row>
    <row r="67" spans="2:3" x14ac:dyDescent="0.4">
      <c r="C67" s="251" t="s">
        <v>185</v>
      </c>
    </row>
    <row r="68" spans="2:3" x14ac:dyDescent="0.4">
      <c r="C68" s="251" t="s">
        <v>186</v>
      </c>
    </row>
    <row r="69" spans="2:3" x14ac:dyDescent="0.4">
      <c r="C69" s="251" t="s">
        <v>187</v>
      </c>
    </row>
    <row r="71" spans="2:3" x14ac:dyDescent="0.4">
      <c r="B71" s="258" t="s">
        <v>188</v>
      </c>
      <c r="C71" s="255" t="s">
        <v>189</v>
      </c>
    </row>
    <row r="72" spans="2:3" x14ac:dyDescent="0.4">
      <c r="C72" s="251" t="s">
        <v>190</v>
      </c>
    </row>
    <row r="73" spans="2:3" x14ac:dyDescent="0.4">
      <c r="C73" s="251" t="s">
        <v>191</v>
      </c>
    </row>
    <row r="75" spans="2:3" x14ac:dyDescent="0.4">
      <c r="B75" s="258" t="s">
        <v>192</v>
      </c>
      <c r="C75" s="255" t="s">
        <v>193</v>
      </c>
    </row>
    <row r="76" spans="2:3" x14ac:dyDescent="0.4">
      <c r="C76" s="251" t="s">
        <v>194</v>
      </c>
    </row>
    <row r="77" spans="2:3" x14ac:dyDescent="0.4">
      <c r="C77" s="251" t="s">
        <v>195</v>
      </c>
    </row>
    <row r="79" spans="2:3" x14ac:dyDescent="0.4">
      <c r="B79" s="258" t="s">
        <v>196</v>
      </c>
      <c r="C79" s="255" t="s">
        <v>197</v>
      </c>
    </row>
    <row r="80" spans="2:3" x14ac:dyDescent="0.4">
      <c r="C80" s="251" t="s">
        <v>198</v>
      </c>
    </row>
    <row r="81" spans="2:3" x14ac:dyDescent="0.4">
      <c r="C81" s="251" t="s">
        <v>199</v>
      </c>
    </row>
    <row r="83" spans="2:3" x14ac:dyDescent="0.4">
      <c r="B83" s="258" t="s">
        <v>200</v>
      </c>
      <c r="C83" s="255" t="s">
        <v>201</v>
      </c>
    </row>
    <row r="84" spans="2:3" x14ac:dyDescent="0.4">
      <c r="C84" s="251" t="s">
        <v>202</v>
      </c>
    </row>
    <row r="86" spans="2:3" x14ac:dyDescent="0.4">
      <c r="B86" s="258" t="s">
        <v>203</v>
      </c>
      <c r="C86" s="255" t="s">
        <v>206</v>
      </c>
    </row>
    <row r="87" spans="2:3" x14ac:dyDescent="0.4">
      <c r="C87" s="251" t="s">
        <v>205</v>
      </c>
    </row>
    <row r="88" spans="2:3" x14ac:dyDescent="0.4">
      <c r="C88" s="251" t="s">
        <v>204</v>
      </c>
    </row>
    <row r="89" spans="2:3" ht="19.5" thickBot="1" x14ac:dyDescent="0.45"/>
    <row r="90" spans="2:3" ht="19.5" thickBot="1" x14ac:dyDescent="0.45">
      <c r="B90" s="259" t="s">
        <v>207</v>
      </c>
      <c r="C90" s="260" t="s">
        <v>208</v>
      </c>
    </row>
    <row r="91" spans="2:3" x14ac:dyDescent="0.4">
      <c r="C91" s="251" t="s">
        <v>209</v>
      </c>
    </row>
    <row r="92" spans="2:3" x14ac:dyDescent="0.4">
      <c r="C92" s="251" t="s">
        <v>210</v>
      </c>
    </row>
    <row r="95" spans="2:3" x14ac:dyDescent="0.4">
      <c r="B95" s="256" t="s">
        <v>211</v>
      </c>
    </row>
    <row r="129" spans="2:3" x14ac:dyDescent="0.4">
      <c r="B129" s="261" t="s">
        <v>183</v>
      </c>
      <c r="C129" s="256" t="s">
        <v>189</v>
      </c>
    </row>
    <row r="130" spans="2:3" x14ac:dyDescent="0.4">
      <c r="C130" s="251" t="s">
        <v>190</v>
      </c>
    </row>
    <row r="131" spans="2:3" x14ac:dyDescent="0.4">
      <c r="C131" s="251" t="s">
        <v>191</v>
      </c>
    </row>
    <row r="133" spans="2:3" x14ac:dyDescent="0.4">
      <c r="B133" s="261" t="s">
        <v>188</v>
      </c>
      <c r="C133" s="256" t="s">
        <v>212</v>
      </c>
    </row>
    <row r="134" spans="2:3" x14ac:dyDescent="0.4">
      <c r="C134" s="251" t="s">
        <v>213</v>
      </c>
    </row>
    <row r="136" spans="2:3" x14ac:dyDescent="0.4">
      <c r="B136" s="261" t="s">
        <v>192</v>
      </c>
      <c r="C136" s="256" t="s">
        <v>214</v>
      </c>
    </row>
    <row r="137" spans="2:3" x14ac:dyDescent="0.4">
      <c r="C137" s="251" t="s">
        <v>215</v>
      </c>
    </row>
    <row r="139" spans="2:3" x14ac:dyDescent="0.4">
      <c r="B139" s="261" t="s">
        <v>196</v>
      </c>
      <c r="C139" s="256" t="s">
        <v>216</v>
      </c>
    </row>
    <row r="140" spans="2:3" x14ac:dyDescent="0.4">
      <c r="C140" s="251" t="s">
        <v>217</v>
      </c>
    </row>
    <row r="141" spans="2:3" x14ac:dyDescent="0.4">
      <c r="C141" s="251" t="s">
        <v>218</v>
      </c>
    </row>
    <row r="143" spans="2:3" x14ac:dyDescent="0.4">
      <c r="B143" s="261" t="s">
        <v>200</v>
      </c>
      <c r="C143" s="256" t="s">
        <v>193</v>
      </c>
    </row>
    <row r="144" spans="2:3" x14ac:dyDescent="0.4">
      <c r="C144" s="251" t="s">
        <v>219</v>
      </c>
    </row>
    <row r="145" spans="2:3" x14ac:dyDescent="0.4">
      <c r="C145" s="251" t="s">
        <v>220</v>
      </c>
    </row>
    <row r="147" spans="2:3" x14ac:dyDescent="0.4">
      <c r="B147" s="261" t="s">
        <v>203</v>
      </c>
      <c r="C147" s="256" t="s">
        <v>221</v>
      </c>
    </row>
    <row r="148" spans="2:3" x14ac:dyDescent="0.4">
      <c r="C148" s="251" t="s">
        <v>205</v>
      </c>
    </row>
    <row r="149" spans="2:3" x14ac:dyDescent="0.4">
      <c r="C149" s="251" t="s">
        <v>204</v>
      </c>
    </row>
    <row r="150" spans="2:3" ht="19.5" thickBot="1" x14ac:dyDescent="0.45"/>
    <row r="151" spans="2:3" ht="19.5" thickBot="1" x14ac:dyDescent="0.45">
      <c r="B151" s="259" t="s">
        <v>207</v>
      </c>
      <c r="C151" s="260" t="s">
        <v>208</v>
      </c>
    </row>
    <row r="152" spans="2:3" x14ac:dyDescent="0.4">
      <c r="C152" s="251" t="s">
        <v>209</v>
      </c>
    </row>
    <row r="153" spans="2:3" x14ac:dyDescent="0.4">
      <c r="C153" s="251" t="s">
        <v>210</v>
      </c>
    </row>
    <row r="156" spans="2:3" x14ac:dyDescent="0.4">
      <c r="B156" s="256" t="s">
        <v>222</v>
      </c>
    </row>
    <row r="198" spans="2:3" x14ac:dyDescent="0.4">
      <c r="B198" s="251" t="s">
        <v>223</v>
      </c>
    </row>
    <row r="200" spans="2:3" x14ac:dyDescent="0.4">
      <c r="B200" s="256"/>
    </row>
    <row r="201" spans="2:3" x14ac:dyDescent="0.4">
      <c r="B201" s="252"/>
      <c r="C201" s="252"/>
    </row>
    <row r="202" spans="2:3" x14ac:dyDescent="0.4">
      <c r="B202" s="252"/>
      <c r="C202" s="252"/>
    </row>
    <row r="203" spans="2:3" x14ac:dyDescent="0.4">
      <c r="B203" s="252"/>
      <c r="C203" s="252"/>
    </row>
    <row r="204" spans="2:3" x14ac:dyDescent="0.4">
      <c r="B204" s="252"/>
      <c r="C204" s="252"/>
    </row>
    <row r="205" spans="2:3" x14ac:dyDescent="0.4">
      <c r="B205" s="252"/>
      <c r="C205" s="252"/>
    </row>
    <row r="206" spans="2:3" x14ac:dyDescent="0.4">
      <c r="B206" s="252"/>
      <c r="C206" s="252"/>
    </row>
    <row r="207" spans="2:3" x14ac:dyDescent="0.4">
      <c r="B207" s="252"/>
      <c r="C207" s="252"/>
    </row>
  </sheetData>
  <phoneticPr fontId="2"/>
  <hyperlinks>
    <hyperlink ref="C11" r:id="rId1" xr:uid="{7683986F-6B24-4CE5-942C-8BFBD22F926D}"/>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午前観測</vt:lpstr>
      <vt:lpstr>正午観測</vt:lpstr>
      <vt:lpstr>ノート</vt:lpstr>
      <vt:lpstr>A2</vt:lpstr>
      <vt:lpstr>DIP</vt:lpstr>
      <vt:lpstr>A4</vt:lpstr>
      <vt:lpstr>Help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2026-04-22T15:36:04Z</dcterms:created>
  <dcterms:modified xsi:type="dcterms:W3CDTF">2026-04-22T15:36:14Z</dcterms:modified>
</cp:coreProperties>
</file>